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tchworth Parish\Downloads\Zoho WorkDrive\"/>
    </mc:Choice>
  </mc:AlternateContent>
  <xr:revisionPtr revIDLastSave="0" documentId="13_ncr:1_{F15F55C5-3265-4DE7-ADFD-BD020156B200}" xr6:coauthVersionLast="47" xr6:coauthVersionMax="47" xr10:uidLastSave="{00000000-0000-0000-0000-000000000000}"/>
  <bookViews>
    <workbookView xWindow="-108" yWindow="-108" windowWidth="23256" windowHeight="12456" xr2:uid="{A891BED1-C2B3-4D57-9E17-DCD71461DD21}"/>
  </bookViews>
  <sheets>
    <sheet name="Summary" sheetId="6" r:id="rId1"/>
    <sheet name="I &amp; E 26 to 27" sheetId="2" r:id="rId2"/>
    <sheet name="CIL Report" sheetId="1" r:id="rId3"/>
    <sheet name="VAT Claim" sheetId="3" r:id="rId4"/>
    <sheet name="Monthly Reconcilitation" sheetId="4" r:id="rId5"/>
    <sheet name="Forecast" sheetId="5" r:id="rId6"/>
    <sheet name="Timesheet" sheetId="7" r:id="rId7"/>
    <sheet name="Forecast Calcs" sheetId="9" r:id="rId8"/>
    <sheet name="Outgoing" sheetId="10" r:id="rId9"/>
    <sheet name="Income" sheetId="11" r:id="rId10"/>
  </sheets>
  <definedNames>
    <definedName name="AccountNames">#REF!</definedName>
    <definedName name="ExpenditureAllocations">#REF!</definedName>
    <definedName name="IncomeAllocations">#REF!</definedName>
    <definedName name="StartPeriodBalanc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2" i="6" l="1"/>
  <c r="C117" i="2"/>
  <c r="G11" i="6" s="1"/>
  <c r="F9" i="6"/>
  <c r="C100" i="2"/>
  <c r="C87" i="2"/>
  <c r="C4" i="5" l="1"/>
  <c r="C4" i="11"/>
  <c r="G25" i="5"/>
  <c r="G27" i="5"/>
  <c r="E19" i="10"/>
  <c r="C10" i="2" l="1"/>
  <c r="I3" i="1"/>
  <c r="C23" i="5" l="1"/>
  <c r="E99" i="2" l="1"/>
  <c r="I99" i="2"/>
  <c r="H99" i="2" s="1"/>
  <c r="C5" i="11"/>
  <c r="C14" i="5"/>
  <c r="C6" i="11" l="1"/>
  <c r="C8" i="11"/>
  <c r="C15" i="5" s="1"/>
  <c r="E25" i="10"/>
  <c r="E21" i="10"/>
  <c r="E20" i="10"/>
  <c r="E18" i="10"/>
  <c r="E12" i="10"/>
  <c r="C12" i="5"/>
  <c r="I35" i="9"/>
  <c r="I21" i="9"/>
  <c r="I13" i="9"/>
  <c r="C19" i="5" s="1"/>
  <c r="C13" i="5" l="1"/>
  <c r="C14" i="6" l="1"/>
  <c r="B15" i="6"/>
  <c r="B14" i="6"/>
  <c r="C13" i="6"/>
  <c r="B13" i="6"/>
  <c r="B10" i="6"/>
  <c r="C10" i="6"/>
  <c r="B11" i="6"/>
  <c r="C11" i="6"/>
  <c r="B12" i="6"/>
  <c r="C12" i="6"/>
  <c r="B9" i="6"/>
  <c r="C9" i="6"/>
  <c r="B3" i="2"/>
  <c r="G5" i="6"/>
  <c r="G4" i="6"/>
  <c r="C73" i="2" l="1"/>
  <c r="C3" i="5"/>
  <c r="G6" i="5" l="1"/>
  <c r="G14" i="6"/>
  <c r="C104" i="2"/>
  <c r="B6" i="6" l="1"/>
  <c r="F8" i="6"/>
  <c r="F7" i="6"/>
  <c r="F10" i="6"/>
  <c r="B5" i="6"/>
  <c r="I37" i="2" l="1"/>
  <c r="H37" i="2" s="1"/>
  <c r="J5" i="1"/>
  <c r="J6" i="1"/>
  <c r="J4" i="1"/>
  <c r="C114" i="2"/>
  <c r="G8" i="6" s="1"/>
  <c r="F105" i="2"/>
  <c r="D105" i="2"/>
  <c r="C92" i="2"/>
  <c r="I92" i="2" s="1"/>
  <c r="H92" i="2" s="1"/>
  <c r="E87" i="2"/>
  <c r="E73" i="2"/>
  <c r="C62" i="2"/>
  <c r="I62" i="2" s="1"/>
  <c r="H62" i="2" s="1"/>
  <c r="C53" i="2"/>
  <c r="E53" i="2" s="1"/>
  <c r="C26" i="2"/>
  <c r="I26" i="2" s="1"/>
  <c r="H26" i="2" s="1"/>
  <c r="C27" i="2"/>
  <c r="I27" i="2" s="1"/>
  <c r="H27" i="2" s="1"/>
  <c r="C101" i="2"/>
  <c r="I104" i="2"/>
  <c r="H104" i="2" s="1"/>
  <c r="I98" i="2"/>
  <c r="H98" i="2" s="1"/>
  <c r="I97" i="2"/>
  <c r="H97" i="2" s="1"/>
  <c r="I96" i="2"/>
  <c r="H96" i="2" s="1"/>
  <c r="I95" i="2"/>
  <c r="H95" i="2" s="1"/>
  <c r="I91" i="2"/>
  <c r="H91" i="2" s="1"/>
  <c r="I90" i="2"/>
  <c r="H90" i="2" s="1"/>
  <c r="I86" i="2"/>
  <c r="H86" i="2" s="1"/>
  <c r="I85" i="2"/>
  <c r="H85" i="2" s="1"/>
  <c r="I84" i="2"/>
  <c r="I83" i="2"/>
  <c r="H83" i="2" s="1"/>
  <c r="I82" i="2"/>
  <c r="H82" i="2" s="1"/>
  <c r="I81" i="2"/>
  <c r="H81" i="2" s="1"/>
  <c r="I80" i="2"/>
  <c r="H80" i="2" s="1"/>
  <c r="I79" i="2"/>
  <c r="H79" i="2" s="1"/>
  <c r="I78" i="2"/>
  <c r="H78" i="2" s="1"/>
  <c r="I77" i="2"/>
  <c r="H77" i="2" s="1"/>
  <c r="I76" i="2"/>
  <c r="I72" i="2"/>
  <c r="H72" i="2" s="1"/>
  <c r="I71" i="2"/>
  <c r="H71" i="2" s="1"/>
  <c r="I70" i="2"/>
  <c r="H70" i="2" s="1"/>
  <c r="I69" i="2"/>
  <c r="H69" i="2" s="1"/>
  <c r="I68" i="2"/>
  <c r="H68" i="2" s="1"/>
  <c r="I67" i="2"/>
  <c r="H67" i="2" s="1"/>
  <c r="I66" i="2"/>
  <c r="H66" i="2" s="1"/>
  <c r="I65" i="2"/>
  <c r="H65" i="2" s="1"/>
  <c r="I64" i="2"/>
  <c r="H64" i="2" s="1"/>
  <c r="I63" i="2"/>
  <c r="H63" i="2" s="1"/>
  <c r="I61" i="2"/>
  <c r="H61" i="2" s="1"/>
  <c r="I60" i="2"/>
  <c r="H60" i="2" s="1"/>
  <c r="I59" i="2"/>
  <c r="H59" i="2" s="1"/>
  <c r="I58" i="2"/>
  <c r="H58" i="2" s="1"/>
  <c r="I57" i="2"/>
  <c r="H57" i="2" s="1"/>
  <c r="I52" i="2"/>
  <c r="H52" i="2" s="1"/>
  <c r="I51" i="2"/>
  <c r="H51" i="2" s="1"/>
  <c r="I50" i="2"/>
  <c r="H50" i="2" s="1"/>
  <c r="I49" i="2"/>
  <c r="H49" i="2" s="1"/>
  <c r="I48" i="2"/>
  <c r="H48" i="2" s="1"/>
  <c r="I47" i="2"/>
  <c r="H47" i="2" s="1"/>
  <c r="I46" i="2"/>
  <c r="H46" i="2" s="1"/>
  <c r="I45" i="2"/>
  <c r="H45" i="2" s="1"/>
  <c r="I44" i="2"/>
  <c r="H44" i="2" s="1"/>
  <c r="I43" i="2"/>
  <c r="H43" i="2" s="1"/>
  <c r="I42" i="2"/>
  <c r="H42" i="2" s="1"/>
  <c r="I41" i="2"/>
  <c r="H41" i="2" s="1"/>
  <c r="I40" i="2"/>
  <c r="H40" i="2" s="1"/>
  <c r="I35" i="2"/>
  <c r="H35" i="2" s="1"/>
  <c r="I34" i="2"/>
  <c r="H34" i="2" s="1"/>
  <c r="I31" i="2"/>
  <c r="H31" i="2" s="1"/>
  <c r="I18" i="2"/>
  <c r="H18" i="2" s="1"/>
  <c r="I19" i="2"/>
  <c r="H19" i="2" s="1"/>
  <c r="I20" i="2"/>
  <c r="H20" i="2" s="1"/>
  <c r="I21" i="2"/>
  <c r="H21" i="2" s="1"/>
  <c r="I22" i="2"/>
  <c r="H22" i="2" s="1"/>
  <c r="I23" i="2"/>
  <c r="H23" i="2" s="1"/>
  <c r="I24" i="2"/>
  <c r="H24" i="2" s="1"/>
  <c r="I25" i="2"/>
  <c r="H25" i="2" s="1"/>
  <c r="H76" i="2"/>
  <c r="H84" i="2"/>
  <c r="H30" i="2"/>
  <c r="H28" i="2"/>
  <c r="H29" i="2"/>
  <c r="E32" i="2"/>
  <c r="E20" i="2"/>
  <c r="I17" i="2"/>
  <c r="H17" i="2" s="1"/>
  <c r="E104" i="2"/>
  <c r="E98" i="2"/>
  <c r="E97" i="2"/>
  <c r="E96" i="2"/>
  <c r="E95" i="2"/>
  <c r="E91" i="2"/>
  <c r="E90" i="2"/>
  <c r="E86" i="2"/>
  <c r="E85" i="2"/>
  <c r="E84" i="2"/>
  <c r="E83" i="2"/>
  <c r="E82" i="2"/>
  <c r="E81" i="2"/>
  <c r="E80" i="2"/>
  <c r="E79" i="2"/>
  <c r="E78" i="2"/>
  <c r="E77" i="2"/>
  <c r="E76" i="2"/>
  <c r="E72" i="2"/>
  <c r="E71" i="2"/>
  <c r="E70" i="2"/>
  <c r="E69" i="2"/>
  <c r="E68" i="2"/>
  <c r="E67" i="2"/>
  <c r="E66" i="2"/>
  <c r="E65" i="2"/>
  <c r="E61" i="2"/>
  <c r="E60" i="2"/>
  <c r="E59" i="2"/>
  <c r="E58" i="2"/>
  <c r="E57" i="2"/>
  <c r="E41" i="2"/>
  <c r="E42" i="2"/>
  <c r="E43" i="2"/>
  <c r="E44" i="2"/>
  <c r="E45" i="2"/>
  <c r="E46" i="2"/>
  <c r="E47" i="2"/>
  <c r="E48" i="2"/>
  <c r="E49" i="2"/>
  <c r="E50" i="2"/>
  <c r="E51" i="2"/>
  <c r="E52" i="2"/>
  <c r="E40" i="2"/>
  <c r="E33" i="2"/>
  <c r="E34" i="2"/>
  <c r="E35" i="2"/>
  <c r="E36" i="2"/>
  <c r="E31" i="2"/>
  <c r="E21" i="2"/>
  <c r="E22" i="2"/>
  <c r="E23" i="2"/>
  <c r="E24" i="2"/>
  <c r="E25" i="2"/>
  <c r="E17" i="2"/>
  <c r="E18" i="2"/>
  <c r="E19" i="2"/>
  <c r="D13" i="2"/>
  <c r="F7" i="1"/>
  <c r="E62" i="2" l="1"/>
  <c r="C115" i="2"/>
  <c r="G9" i="6" s="1"/>
  <c r="C116" i="2"/>
  <c r="C118" i="2" s="1"/>
  <c r="E92" i="2"/>
  <c r="E100" i="2"/>
  <c r="E26" i="2"/>
  <c r="C105" i="2"/>
  <c r="E105" i="2" s="1"/>
  <c r="I100" i="2"/>
  <c r="H100" i="2" s="1"/>
  <c r="E27" i="2"/>
  <c r="C109" i="2"/>
  <c r="E101" i="2"/>
  <c r="I101" i="2"/>
  <c r="H101" i="2" s="1"/>
  <c r="C106" i="2"/>
  <c r="I73" i="2"/>
  <c r="H73" i="2" s="1"/>
  <c r="I87" i="2"/>
  <c r="H87" i="2" s="1"/>
  <c r="I53" i="2"/>
  <c r="H53" i="2" s="1"/>
  <c r="E37" i="2"/>
  <c r="J3" i="1"/>
  <c r="I8" i="1" s="1"/>
  <c r="C5" i="5" l="1"/>
  <c r="C16" i="5" s="1"/>
  <c r="I9" i="1"/>
  <c r="G12" i="6"/>
  <c r="G10" i="6"/>
  <c r="C110" i="2"/>
  <c r="C108" i="2"/>
  <c r="E108" i="2" s="1"/>
  <c r="E106" i="2"/>
  <c r="I105" i="2"/>
  <c r="H105" i="2" s="1"/>
  <c r="C107" i="2"/>
  <c r="E107" i="2" s="1"/>
  <c r="I106" i="2"/>
  <c r="H106" i="2" s="1"/>
  <c r="C24" i="5" l="1"/>
  <c r="C6" i="5"/>
  <c r="C17" i="5" s="1"/>
  <c r="C21" i="5" s="1"/>
  <c r="C5" i="6"/>
  <c r="C11" i="2"/>
  <c r="I107" i="2"/>
  <c r="H107" i="2" s="1"/>
  <c r="C13" i="2" l="1"/>
  <c r="C6" i="6" s="1"/>
  <c r="C4" i="6"/>
  <c r="C25" i="5"/>
  <c r="C15" i="6"/>
</calcChain>
</file>

<file path=xl/sharedStrings.xml><?xml version="1.0" encoding="utf-8"?>
<sst xmlns="http://schemas.openxmlformats.org/spreadsheetml/2006/main" count="639" uniqueCount="417">
  <si>
    <t>RECEIPTS</t>
  </si>
  <si>
    <t>2026/2027</t>
  </si>
  <si>
    <t>2025/2026</t>
  </si>
  <si>
    <t>Comments</t>
  </si>
  <si>
    <t>Code</t>
  </si>
  <si>
    <t>Actual</t>
  </si>
  <si>
    <t>Budget</t>
  </si>
  <si>
    <t>YTD %</t>
  </si>
  <si>
    <t>Allotment Income</t>
  </si>
  <si>
    <t>Bank Interest</t>
  </si>
  <si>
    <t>Burial ground Income</t>
  </si>
  <si>
    <t>CIL Payments</t>
  </si>
  <si>
    <t>Concurrent Service Payment</t>
  </si>
  <si>
    <t>CT Support Scheme Payment</t>
  </si>
  <si>
    <t>Other Receipts</t>
  </si>
  <si>
    <t>Precept</t>
  </si>
  <si>
    <t>VAT Reclaim</t>
  </si>
  <si>
    <t>Total</t>
  </si>
  <si>
    <t>PAYMENTS</t>
  </si>
  <si>
    <t>Clerk Running Costs</t>
  </si>
  <si>
    <t>Clerks Salary</t>
  </si>
  <si>
    <t>Employee's Tax</t>
  </si>
  <si>
    <t>Employee's NI</t>
  </si>
  <si>
    <t>`</t>
  </si>
  <si>
    <t>Employers NI</t>
  </si>
  <si>
    <t>Pension Employer</t>
  </si>
  <si>
    <t>Pension Employee</t>
  </si>
  <si>
    <t>Total Clerk Running Costs</t>
  </si>
  <si>
    <t>General Council Running Costs</t>
  </si>
  <si>
    <t>Clerk Mileage</t>
  </si>
  <si>
    <t>Payroll admin expenses (external supplier)</t>
  </si>
  <si>
    <t>Office Expenses - Stationery</t>
  </si>
  <si>
    <t>Office Expenses - Postage</t>
  </si>
  <si>
    <t>Office Expenses - webhosting &amp; email</t>
  </si>
  <si>
    <t>Clerk Mobile</t>
  </si>
  <si>
    <t>Office Expenses - Software</t>
  </si>
  <si>
    <t>Office Expenses - IT Suppport (PC  &amp; Website)</t>
  </si>
  <si>
    <t xml:space="preserve">Training </t>
  </si>
  <si>
    <t>Audit</t>
  </si>
  <si>
    <t>Bank Charges</t>
  </si>
  <si>
    <t>Room Hire &amp; Expenses</t>
  </si>
  <si>
    <t>Insurance</t>
  </si>
  <si>
    <t>Revenue Expenditure</t>
  </si>
  <si>
    <t>Burial Ground &amp; Allotments</t>
  </si>
  <si>
    <t>Grass</t>
  </si>
  <si>
    <t>Pruning</t>
  </si>
  <si>
    <t>Fencing / Boundaries</t>
  </si>
  <si>
    <t>Annual Path Clearing &amp; Weedkilling</t>
  </si>
  <si>
    <t>General Maint</t>
  </si>
  <si>
    <t>Parish Amenities</t>
  </si>
  <si>
    <t>Goulburn Green Grass</t>
  </si>
  <si>
    <t>Goulburn Green Water</t>
  </si>
  <si>
    <t>Pruning &amp; Maint (Hedgerows/other)</t>
  </si>
  <si>
    <t>Footpath &amp; Adhoc Maint</t>
  </si>
  <si>
    <t>Defib Maint</t>
  </si>
  <si>
    <t>Village Store / Bus Shelter / Planting Maint</t>
  </si>
  <si>
    <t>Tree Replacement</t>
  </si>
  <si>
    <t>Play Area Checks</t>
  </si>
  <si>
    <t>Discretionary</t>
  </si>
  <si>
    <t xml:space="preserve">Subscriptions General </t>
  </si>
  <si>
    <t>SALC &amp; NALC</t>
  </si>
  <si>
    <t>Grit Provision</t>
  </si>
  <si>
    <t>Grant Awards</t>
  </si>
  <si>
    <t>Document Archiving</t>
  </si>
  <si>
    <t>Speed Survey</t>
  </si>
  <si>
    <t>Litter Pick Support</t>
  </si>
  <si>
    <t>Community Events</t>
  </si>
  <si>
    <t>Local support (s137)</t>
  </si>
  <si>
    <t>Additional Training BG, Clerk, Playground</t>
  </si>
  <si>
    <t>Website Upgrade</t>
  </si>
  <si>
    <t>Projects</t>
  </si>
  <si>
    <t>Facilities Improvements</t>
  </si>
  <si>
    <t>Burial Ground Expansion (Non-CIL)</t>
  </si>
  <si>
    <t>CIL</t>
  </si>
  <si>
    <t>Defibrillator Hamilton Room</t>
  </si>
  <si>
    <t>Traffic Calming</t>
  </si>
  <si>
    <t>Burial Ground Expansion (CIL)</t>
  </si>
  <si>
    <t>Scanner (Burial Ground Paperless)</t>
  </si>
  <si>
    <t>CIL Infrastructure Project</t>
  </si>
  <si>
    <t>VAT</t>
  </si>
  <si>
    <t>Total Payments Less Clerk Salary</t>
  </si>
  <si>
    <t>Receipts Less Payments</t>
  </si>
  <si>
    <t>Ring Fenced Elections &amp; Deposits</t>
  </si>
  <si>
    <t>Ring Fenced Legal &amp; Professional Costs</t>
  </si>
  <si>
    <t>Ring Fenced IT / Defibrillators</t>
  </si>
  <si>
    <t>Total Ring fenced</t>
  </si>
  <si>
    <t>CIL Report</t>
  </si>
  <si>
    <t>Pot</t>
  </si>
  <si>
    <t>CIL TOTAL</t>
  </si>
  <si>
    <t>Expiry Date</t>
  </si>
  <si>
    <t>Spend to date</t>
  </si>
  <si>
    <t>Left to Spend</t>
  </si>
  <si>
    <t>MUST SPEND POT A BY 30/3/27</t>
  </si>
  <si>
    <t>A</t>
  </si>
  <si>
    <t>MUST SPEND POT B BY 30/3/27</t>
  </si>
  <si>
    <t>B</t>
  </si>
  <si>
    <t>C</t>
  </si>
  <si>
    <t>D</t>
  </si>
  <si>
    <t>MONTHLY RECONCILIATIONS</t>
  </si>
  <si>
    <t>£</t>
  </si>
  <si>
    <t>Balance B/F</t>
  </si>
  <si>
    <t>Payments</t>
  </si>
  <si>
    <t>Income</t>
  </si>
  <si>
    <t>Bank balance from Accounts</t>
  </si>
  <si>
    <t>Total Accounts</t>
  </si>
  <si>
    <t>Difference</t>
  </si>
  <si>
    <t>Total not presented</t>
  </si>
  <si>
    <t>Accounts Total</t>
  </si>
  <si>
    <t>Balance C/F</t>
  </si>
  <si>
    <t>TOTAL TO SPEND BY 30/3/27</t>
  </si>
  <si>
    <t>INC001</t>
  </si>
  <si>
    <t>INC002</t>
  </si>
  <si>
    <t>INC003</t>
  </si>
  <si>
    <t>INC004</t>
  </si>
  <si>
    <t>INC005</t>
  </si>
  <si>
    <t>INC006</t>
  </si>
  <si>
    <t>INC007</t>
  </si>
  <si>
    <t>INC008</t>
  </si>
  <si>
    <t>INC009</t>
  </si>
  <si>
    <t>CL000</t>
  </si>
  <si>
    <t>CL014</t>
  </si>
  <si>
    <t>CL001</t>
  </si>
  <si>
    <t>CL002</t>
  </si>
  <si>
    <t>PL001</t>
  </si>
  <si>
    <t>PL002</t>
  </si>
  <si>
    <t>CL007</t>
  </si>
  <si>
    <t>CL011</t>
  </si>
  <si>
    <t>CL009</t>
  </si>
  <si>
    <t>CL008</t>
  </si>
  <si>
    <t>CL012</t>
  </si>
  <si>
    <t>CL006</t>
  </si>
  <si>
    <t>WE003</t>
  </si>
  <si>
    <t>WE004</t>
  </si>
  <si>
    <t>CL003</t>
  </si>
  <si>
    <t>CL004</t>
  </si>
  <si>
    <t>BA002</t>
  </si>
  <si>
    <t>CL005</t>
  </si>
  <si>
    <t>BA001</t>
  </si>
  <si>
    <t>BG001</t>
  </si>
  <si>
    <t>BG002</t>
  </si>
  <si>
    <t>BG005</t>
  </si>
  <si>
    <t>BG004</t>
  </si>
  <si>
    <t>BG003</t>
  </si>
  <si>
    <t>GG001</t>
  </si>
  <si>
    <t>GG002</t>
  </si>
  <si>
    <t>MA001</t>
  </si>
  <si>
    <t>MA002</t>
  </si>
  <si>
    <t>MA005</t>
  </si>
  <si>
    <t>MA007</t>
  </si>
  <si>
    <t>MA006</t>
  </si>
  <si>
    <t>GG003</t>
  </si>
  <si>
    <t>CL010</t>
  </si>
  <si>
    <t>CL013</t>
  </si>
  <si>
    <t>MA004</t>
  </si>
  <si>
    <t>OT15</t>
  </si>
  <si>
    <t>OT21</t>
  </si>
  <si>
    <t>OT003</t>
  </si>
  <si>
    <t>CO001</t>
  </si>
  <si>
    <t>S137</t>
  </si>
  <si>
    <t>AD250</t>
  </si>
  <si>
    <t>OT004</t>
  </si>
  <si>
    <t>OT005</t>
  </si>
  <si>
    <t>AD251</t>
  </si>
  <si>
    <t>AD255</t>
  </si>
  <si>
    <t>AD252</t>
  </si>
  <si>
    <t>AD256</t>
  </si>
  <si>
    <t>AD257</t>
  </si>
  <si>
    <t>AD258</t>
  </si>
  <si>
    <t>TOTAL</t>
  </si>
  <si>
    <t>TOTAL LEFT TO SPEND</t>
  </si>
  <si>
    <t>Receipts less Payments excluding CIL</t>
  </si>
  <si>
    <t>Payments excluding CIL</t>
  </si>
  <si>
    <t xml:space="preserve">Reserve </t>
  </si>
  <si>
    <t>Total Receipts to date</t>
  </si>
  <si>
    <t>Burial Ground Breakdown</t>
  </si>
  <si>
    <t>Spend - Salary</t>
  </si>
  <si>
    <t>Spend - excluding Salary</t>
  </si>
  <si>
    <t>VAT for the period 01/04/2026 - 31/08/2026 Claimed on 11/09/2026</t>
  </si>
  <si>
    <t>Item</t>
  </si>
  <si>
    <t>Total (ex VAT)</t>
  </si>
  <si>
    <t>Committed spend - CIL</t>
  </si>
  <si>
    <t>Committed spend - Other</t>
  </si>
  <si>
    <t>Training, maintenance, litterpick budget</t>
  </si>
  <si>
    <t>Forecast income</t>
  </si>
  <si>
    <t>Total CIL leftover</t>
  </si>
  <si>
    <t>Total cash leftover</t>
  </si>
  <si>
    <t>If we go ahead with Tranquil Woods purchase and initial setup</t>
  </si>
  <si>
    <t>If we don’t go ahead with Tranquil Woods purchase and initial setup</t>
  </si>
  <si>
    <t>Project</t>
  </si>
  <si>
    <t>Estimate (£ ex VAT)</t>
  </si>
  <si>
    <t>Tranquil Woods – Annual maintenance</t>
  </si>
  <si>
    <t>Tranquil Woods – year 1</t>
  </si>
  <si>
    <t>Burial Ground parking space</t>
  </si>
  <si>
    <t>Defib at the Hamilton room</t>
  </si>
  <si>
    <t>School railings</t>
  </si>
  <si>
    <t>Flooding signs, depth marker posts and sensor bollard</t>
  </si>
  <si>
    <t>Track resurfacing by Burial Ground</t>
  </si>
  <si>
    <t>Arrow sign for the Burial Ground to help visitors find it</t>
  </si>
  <si>
    <t>Tarmac coffin path patch updates</t>
  </si>
  <si>
    <t>TOTAL excluding Woodland</t>
  </si>
  <si>
    <t xml:space="preserve">Keeping reserve of </t>
  </si>
  <si>
    <r>
      <t>1.</t>
    </r>
    <r>
      <rPr>
        <b/>
        <sz val="12"/>
        <color rgb="FF000000"/>
        <rFont val="Times New Roman"/>
        <family val="1"/>
      </rPr>
      <t xml:space="preserve">     </t>
    </r>
    <r>
      <rPr>
        <b/>
        <sz val="12"/>
        <color rgb="FF000000"/>
        <rFont val="Aptos Display"/>
        <family val="2"/>
      </rPr>
      <t>Current Balance</t>
    </r>
  </si>
  <si>
    <r>
      <t>2.</t>
    </r>
    <r>
      <rPr>
        <b/>
        <sz val="11"/>
        <color rgb="FF000000"/>
        <rFont val="Times New Roman"/>
        <family val="1"/>
      </rPr>
      <t xml:space="preserve">   </t>
    </r>
    <r>
      <rPr>
        <b/>
        <sz val="11"/>
        <color rgb="FF000000"/>
        <rFont val="Arial"/>
        <family val="2"/>
      </rPr>
      <t>Forecast March 27 position</t>
    </r>
  </si>
  <si>
    <r>
      <t>3.</t>
    </r>
    <r>
      <rPr>
        <b/>
        <sz val="12"/>
        <color rgb="FF000000"/>
        <rFont val="Times New Roman"/>
        <family val="1"/>
      </rPr>
      <t xml:space="preserve">     </t>
    </r>
    <r>
      <rPr>
        <b/>
        <sz val="12"/>
        <color rgb="FF000000"/>
        <rFont val="Aptos Display"/>
        <family val="2"/>
      </rPr>
      <t>Future Projects</t>
    </r>
  </si>
  <si>
    <t>Total excluding Precept</t>
  </si>
  <si>
    <t>HSBC Current Account</t>
  </si>
  <si>
    <t>HSBC Reserve Account</t>
  </si>
  <si>
    <t>Unity Account</t>
  </si>
  <si>
    <t>The balance of Council funds is</t>
  </si>
  <si>
    <t xml:space="preserve">Funds for CIL spend </t>
  </si>
  <si>
    <t>Current Bank Balance</t>
  </si>
  <si>
    <t>Bank Balance B/F 31/03/2026</t>
  </si>
  <si>
    <t>Total Receipts</t>
  </si>
  <si>
    <t>Total Payments inc CIL</t>
  </si>
  <si>
    <t>Total CIL Payments</t>
  </si>
  <si>
    <t>Total Projects Payments</t>
  </si>
  <si>
    <t>Total Discretionary Payments</t>
  </si>
  <si>
    <t>Total Parish Amenities Payments</t>
  </si>
  <si>
    <t>Total Burial Ground &amp; Allotments Payments</t>
  </si>
  <si>
    <t>Total  Council Running Costs Payments</t>
  </si>
  <si>
    <t>Monthly Finance Current Totals</t>
  </si>
  <si>
    <t>TOTAL Woodland</t>
  </si>
  <si>
    <t xml:space="preserve">CIL Balance </t>
  </si>
  <si>
    <t>Receipts this month</t>
  </si>
  <si>
    <t>Payments this month</t>
  </si>
  <si>
    <t>Replace old rope fence in burial ground</t>
  </si>
  <si>
    <t>Reserve (9months x avg monthly spend) e.g. if Locum needed</t>
  </si>
  <si>
    <t>Tree work on big oak as per tree survey plan</t>
  </si>
  <si>
    <t>Reserve</t>
  </si>
  <si>
    <t>Monthly</t>
  </si>
  <si>
    <t>In the bank</t>
  </si>
  <si>
    <t>Cash available (unreserved)</t>
  </si>
  <si>
    <t>storage shed?</t>
  </si>
  <si>
    <t xml:space="preserve">Funds for unreserved spend. </t>
  </si>
  <si>
    <t>gravel boards on new fence at BG</t>
  </si>
  <si>
    <t>September</t>
  </si>
  <si>
    <t>Balance as at 30th Sep</t>
  </si>
  <si>
    <t xml:space="preserve"> </t>
  </si>
  <si>
    <t>Pending claim</t>
  </si>
  <si>
    <t>1/9/26-30/9/26</t>
  </si>
  <si>
    <t>Sum of Hours Worked</t>
  </si>
  <si>
    <t>Project Code</t>
  </si>
  <si>
    <t>Date_Month</t>
  </si>
  <si>
    <t>admin</t>
  </si>
  <si>
    <t>Admn</t>
  </si>
  <si>
    <t>Allot</t>
  </si>
  <si>
    <t>BG1</t>
  </si>
  <si>
    <t>Checks</t>
  </si>
  <si>
    <t>Finance</t>
  </si>
  <si>
    <t>flood</t>
  </si>
  <si>
    <t>GG</t>
  </si>
  <si>
    <t>Plan</t>
  </si>
  <si>
    <t>Train</t>
  </si>
  <si>
    <t>website</t>
  </si>
  <si>
    <t>Wood</t>
  </si>
  <si>
    <t>Grand Total</t>
  </si>
  <si>
    <t>Apr</t>
  </si>
  <si>
    <t>May</t>
  </si>
  <si>
    <t>Jun</t>
  </si>
  <si>
    <t>Jul</t>
  </si>
  <si>
    <t>Aug</t>
  </si>
  <si>
    <t>Sep</t>
  </si>
  <si>
    <t>Oct</t>
  </si>
  <si>
    <t>Katie</t>
  </si>
  <si>
    <t>Admin</t>
  </si>
  <si>
    <t>Admin/Finance</t>
  </si>
  <si>
    <t>Defib</t>
  </si>
  <si>
    <t>Defib/signs</t>
  </si>
  <si>
    <t>Finance/Defib</t>
  </si>
  <si>
    <t>Hannah</t>
  </si>
  <si>
    <t>Holiday</t>
  </si>
  <si>
    <t>Village Plan - consultancy</t>
  </si>
  <si>
    <t>Allotment fencing (BG side)</t>
  </si>
  <si>
    <t>Village weather station?</t>
  </si>
  <si>
    <t>Forecast to 31st March</t>
  </si>
  <si>
    <t>Future Projects Wishlist</t>
  </si>
  <si>
    <t>Bank position for GO and NOGO decision on the Woods</t>
  </si>
  <si>
    <t>WOODLAND - Spend Forecast</t>
  </si>
  <si>
    <t>bank balance as at 30 Sept</t>
  </si>
  <si>
    <t>Phase</t>
  </si>
  <si>
    <t>Total exVAT £</t>
  </si>
  <si>
    <t>Status</t>
  </si>
  <si>
    <t>reserve</t>
  </si>
  <si>
    <t>Already spent</t>
  </si>
  <si>
    <t>COTS tree survey</t>
  </si>
  <si>
    <t>paid</t>
  </si>
  <si>
    <t>open spend</t>
  </si>
  <si>
    <t>Purchase</t>
  </si>
  <si>
    <t>Purchase land</t>
  </si>
  <si>
    <t>Price agreed with seller</t>
  </si>
  <si>
    <t>Seller fees</t>
  </si>
  <si>
    <t>Estimate provided by seller</t>
  </si>
  <si>
    <t>Council solicitor fees</t>
  </si>
  <si>
    <t>Estimate provided by approved solicitor</t>
  </si>
  <si>
    <t>Valuation</t>
  </si>
  <si>
    <t>Quote approved by Council</t>
  </si>
  <si>
    <t>Contingency on solicitor fees</t>
  </si>
  <si>
    <t>Initial Setup</t>
  </si>
  <si>
    <t xml:space="preserve">Initial tree works to de-risk trees along road and public footpath </t>
  </si>
  <si>
    <t>Quotes being received</t>
  </si>
  <si>
    <t>Felling licence</t>
  </si>
  <si>
    <t>No charge</t>
  </si>
  <si>
    <t>Fencing – wire mesh to supplement repair of existing fence along with installation of dry hedging by volunteers &amp; gate</t>
  </si>
  <si>
    <t>Estimate</t>
  </si>
  <si>
    <t xml:space="preserve">Signs </t>
  </si>
  <si>
    <t>Fence off broken railings where stream meets Old Road</t>
  </si>
  <si>
    <t>estimate</t>
  </si>
  <si>
    <t>Phase year 1</t>
  </si>
  <si>
    <t>year 1</t>
  </si>
  <si>
    <t>tree survey of internal path &amp; forest school</t>
  </si>
  <si>
    <t>tree works to de-risk trees along internal path / forest school</t>
  </si>
  <si>
    <t>make internal path</t>
  </si>
  <si>
    <t>bamboo</t>
  </si>
  <si>
    <t>Ecology Survey</t>
  </si>
  <si>
    <t>Digital Mapping and Path Mapping (Map the property’s boundaries, access points, hazards, features, sensitivities and notable trees to support well-reasoned management decisions.)</t>
  </si>
  <si>
    <t>Volunteer activity?</t>
  </si>
  <si>
    <t>Remove metal sheet piling and broken excavator</t>
  </si>
  <si>
    <t xml:space="preserve"> railings where stream meets Old Road</t>
  </si>
  <si>
    <t>metal gate entrance by car park</t>
  </si>
  <si>
    <t>install water monitoring device</t>
  </si>
  <si>
    <t>Phase year 2</t>
  </si>
  <si>
    <t>Area</t>
  </si>
  <si>
    <t>When</t>
  </si>
  <si>
    <t>Committed Spend TOTAL</t>
  </si>
  <si>
    <t xml:space="preserve">Committed spend (CIL): </t>
  </si>
  <si>
    <t>Allotment</t>
  </si>
  <si>
    <t>Fencing - Josh Flynn</t>
  </si>
  <si>
    <t>October</t>
  </si>
  <si>
    <t>quote approved at Council</t>
  </si>
  <si>
    <t>Other committed spend:</t>
  </si>
  <si>
    <t>Burial Ground</t>
  </si>
  <si>
    <t>Fencing - Farm Fencing</t>
  </si>
  <si>
    <t>invoiced</t>
  </si>
  <si>
    <t>Shrub planting– Hope Nursery</t>
  </si>
  <si>
    <t>Footpath</t>
  </si>
  <si>
    <t>Poo signs</t>
  </si>
  <si>
    <t>Autumn</t>
  </si>
  <si>
    <t>Total £ (ex vat)</t>
  </si>
  <si>
    <t xml:space="preserve">general </t>
  </si>
  <si>
    <t>Unity bank fees (£7 a month)</t>
  </si>
  <si>
    <t>Staff Training</t>
  </si>
  <si>
    <t>Playground inspection course &amp; Cllr course</t>
  </si>
  <si>
    <t>Clerk Salary</t>
  </si>
  <si>
    <t>HMRC - employer</t>
  </si>
  <si>
    <t>Based on HMRC calculator</t>
  </si>
  <si>
    <t>https://www.tax.service.gov.uk/guidance/paye-tax-calculator</t>
  </si>
  <si>
    <t>NI - employer</t>
  </si>
  <si>
    <t>https://www.tax.service.gov.uk/guidance/work-out-employer-employee-national-insurance-contributions/</t>
  </si>
  <si>
    <t>Pension - employer (3%)</t>
  </si>
  <si>
    <t>Scheduled per month</t>
  </si>
  <si>
    <t>£81 per hour plus travel</t>
  </si>
  <si>
    <t>Room hire</t>
  </si>
  <si>
    <t>Scheduled £25 per month</t>
  </si>
  <si>
    <t>Grounds Maintenance</t>
  </si>
  <si>
    <t>Clear Burial Ground spoil heap</t>
  </si>
  <si>
    <t>Adhoc Maintenance</t>
  </si>
  <si>
    <t>Playground Check</t>
  </si>
  <si>
    <t>Based on quote. Not needed if course attended.</t>
  </si>
  <si>
    <t>Climate event</t>
  </si>
  <si>
    <t>Hall plus drinks</t>
  </si>
  <si>
    <t>Community events</t>
  </si>
  <si>
    <t>Estimate e.g. litter pick bbq, climate refreshment</t>
  </si>
  <si>
    <t>Tree Plaque</t>
  </si>
  <si>
    <t>Based on quote</t>
  </si>
  <si>
    <t>Village Plan - survey</t>
  </si>
  <si>
    <t>Forecast income 1Oct to 31 Mar</t>
  </si>
  <si>
    <t>Total £</t>
  </si>
  <si>
    <t>Bank Interest (£50 a month)</t>
  </si>
  <si>
    <t xml:space="preserve">VAT Reclaim </t>
  </si>
  <si>
    <t>Burial Ground (known income)</t>
  </si>
  <si>
    <t xml:space="preserve">TOTAL </t>
  </si>
  <si>
    <t>Forecast Outgoing Calculations</t>
  </si>
  <si>
    <t>Tranquil Wood</t>
  </si>
  <si>
    <t>TW001</t>
  </si>
  <si>
    <t>Date</t>
  </si>
  <si>
    <t>Amount (ex VAT)</t>
  </si>
  <si>
    <t>CIL Pot A</t>
  </si>
  <si>
    <t>Kissing Gate for Snowerhill</t>
  </si>
  <si>
    <t>Paid</t>
  </si>
  <si>
    <t>Defibrillator for Post Office</t>
  </si>
  <si>
    <t>Village Gateways</t>
  </si>
  <si>
    <t>Gate on GG</t>
  </si>
  <si>
    <t>Playground Provision DEPOSIT</t>
  </si>
  <si>
    <t xml:space="preserve">Playground Provision </t>
  </si>
  <si>
    <t>Gate Church Path</t>
  </si>
  <si>
    <t>Village Planters</t>
  </si>
  <si>
    <t>Church Farm Footpath</t>
  </si>
  <si>
    <t>GG Benches play area</t>
  </si>
  <si>
    <t>Resurfacing Church Farm Path</t>
  </si>
  <si>
    <t>Burial Ground Works Chris Brampton</t>
  </si>
  <si>
    <t>Burial Ground Tap</t>
  </si>
  <si>
    <t>Benches for GG</t>
  </si>
  <si>
    <t>Ground Anchors for GG Benches</t>
  </si>
  <si>
    <t>Ground Anchors for Memorials</t>
  </si>
  <si>
    <t>Tree works to open land for new Burial plots</t>
  </si>
  <si>
    <t>Burial Ground Works to landscape ready for new Burial plots</t>
  </si>
  <si>
    <t>Woodland COTS quotation expenses</t>
  </si>
  <si>
    <t>6yard skip hire for BG levelling</t>
  </si>
  <si>
    <t>Wall survey for BG expansion</t>
  </si>
  <si>
    <t>Tranquil Wood COT, Survey &amp; Report</t>
  </si>
  <si>
    <t>BG natural screen by new fence</t>
  </si>
  <si>
    <t>Pending</t>
  </si>
  <si>
    <t xml:space="preserve">Fencing around Burial Ground </t>
  </si>
  <si>
    <t>Fencing around Allotments</t>
  </si>
  <si>
    <t>Training, maintenance, litterpick budget, village plan</t>
  </si>
  <si>
    <t>Consecrate Burial Ground hamilton strip</t>
  </si>
  <si>
    <t>Fix bollards on Pebblehill Road?</t>
  </si>
  <si>
    <t>Nice to have</t>
  </si>
  <si>
    <t>Might be grant funded</t>
  </si>
  <si>
    <t>Comment</t>
  </si>
  <si>
    <t>Must have</t>
  </si>
  <si>
    <t>Wheelchair friendly path through Burial Ground?</t>
  </si>
  <si>
    <t>Poppies 40cm (H) x 36cm (W) £8 each
https://www.poppyshop.org.uk/products/large-event-poppy</t>
  </si>
  <si>
    <t>Poppies</t>
  </si>
  <si>
    <t>Spend - Projects</t>
  </si>
  <si>
    <t>REDACTED</t>
  </si>
  <si>
    <t>Skooter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</si>
</sst>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&quot;£&quot;* #,##0_-;\-&quot;£&quot;* #,##0_-;_-&quot;£&quot;* &quot;-&quot;??_-;_-@_-"/>
    <numFmt numFmtId="165" formatCode="_-[$£-809]* #,##0.00_-;\-[$£-809]* #,##0.00_-;_-[$£-809]* &quot;-&quot;??_-;_-@_-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2"/>
      <color theme="1"/>
      <name val="Aptos Display"/>
      <family val="2"/>
      <scheme val="major"/>
    </font>
    <font>
      <b/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ptos Display"/>
      <family val="2"/>
    </font>
    <font>
      <b/>
      <sz val="11"/>
      <color rgb="FF000000"/>
      <name val="Times New Roman"/>
      <family val="1"/>
    </font>
    <font>
      <b/>
      <sz val="11"/>
      <color rgb="FF000000"/>
      <name val="Arial"/>
      <family val="2"/>
    </font>
    <font>
      <i/>
      <sz val="12"/>
      <color theme="1"/>
      <name val="Arial"/>
      <family val="2"/>
    </font>
    <font>
      <b/>
      <sz val="10"/>
      <color rgb="FF1F74AD"/>
      <name val="Arial"/>
      <family val="2"/>
    </font>
    <font>
      <sz val="10"/>
      <color rgb="FF1F74AD"/>
      <name val="Arial"/>
      <family val="2"/>
    </font>
    <font>
      <u/>
      <sz val="11"/>
      <color theme="1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ED6F1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3498DB"/>
      </left>
      <right style="medium">
        <color rgb="FF3498DB"/>
      </right>
      <top style="medium">
        <color rgb="FF3498DB"/>
      </top>
      <bottom style="medium">
        <color rgb="FF3498DB"/>
      </bottom>
      <diagonal/>
    </border>
    <border>
      <left style="medium">
        <color rgb="FFD9D9D9"/>
      </left>
      <right style="medium">
        <color rgb="FFD9D9D9"/>
      </right>
      <top style="medium">
        <color rgb="FF3498DB"/>
      </top>
      <bottom style="medium">
        <color rgb="FFD9D9D9"/>
      </bottom>
      <diagonal/>
    </border>
    <border>
      <left style="medium">
        <color rgb="FF3498DB"/>
      </left>
      <right style="medium">
        <color rgb="FF3498DB"/>
      </right>
      <top style="medium">
        <color rgb="FF3498DB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 style="medium">
        <color rgb="FF3498DB"/>
      </top>
      <bottom style="medium">
        <color rgb="FF3498DB"/>
      </bottom>
      <diagonal/>
    </border>
    <border>
      <left style="medium">
        <color rgb="FF3498DB"/>
      </left>
      <right style="medium">
        <color rgb="FF3498DB"/>
      </right>
      <top style="medium">
        <color rgb="FFAED6F1"/>
      </top>
      <bottom style="medium">
        <color rgb="FF3498DB"/>
      </bottom>
      <diagonal/>
    </border>
    <border>
      <left style="medium">
        <color rgb="FF3498DB"/>
      </left>
      <right style="medium">
        <color rgb="FF3498DB"/>
      </right>
      <top style="medium">
        <color rgb="FFAED6F1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 style="medium">
        <color rgb="FFAED6F1"/>
      </top>
      <bottom style="medium">
        <color rgb="FFD9D9D9"/>
      </bottom>
      <diagonal/>
    </border>
    <border>
      <left style="medium">
        <color rgb="FF3498DB"/>
      </left>
      <right style="medium">
        <color rgb="FF3498DB"/>
      </right>
      <top style="medium">
        <color rgb="FF3498DB"/>
      </top>
      <bottom style="thick">
        <color rgb="FF3498DB"/>
      </bottom>
      <diagonal/>
    </border>
    <border>
      <left style="medium">
        <color rgb="FFD9D9D9"/>
      </left>
      <right style="medium">
        <color rgb="FFD9D9D9"/>
      </right>
      <top style="medium">
        <color rgb="FF3498DB"/>
      </top>
      <bottom style="thick">
        <color rgb="FF3498DB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115">
    <xf numFmtId="0" fontId="0" fillId="0" borderId="0" xfId="0"/>
    <xf numFmtId="0" fontId="2" fillId="0" borderId="0" xfId="0" applyFont="1"/>
    <xf numFmtId="44" fontId="0" fillId="0" borderId="0" xfId="2" applyFont="1"/>
    <xf numFmtId="44" fontId="0" fillId="2" borderId="0" xfId="2" applyFont="1" applyFill="1"/>
    <xf numFmtId="9" fontId="0" fillId="0" borderId="0" xfId="3" applyFont="1"/>
    <xf numFmtId="44" fontId="0" fillId="0" borderId="0" xfId="0" applyNumberFormat="1"/>
    <xf numFmtId="44" fontId="2" fillId="0" borderId="0" xfId="0" applyNumberFormat="1" applyFont="1"/>
    <xf numFmtId="9" fontId="2" fillId="0" borderId="0" xfId="3" applyFont="1"/>
    <xf numFmtId="44" fontId="2" fillId="0" borderId="0" xfId="2" applyFont="1"/>
    <xf numFmtId="0" fontId="3" fillId="0" borderId="0" xfId="0" applyFont="1"/>
    <xf numFmtId="44" fontId="3" fillId="0" borderId="0" xfId="2" applyFont="1" applyBorder="1"/>
    <xf numFmtId="0" fontId="4" fillId="0" borderId="0" xfId="0" applyFont="1"/>
    <xf numFmtId="44" fontId="0" fillId="0" borderId="1" xfId="0" applyNumberFormat="1" applyBorder="1"/>
    <xf numFmtId="44" fontId="6" fillId="4" borderId="3" xfId="0" applyNumberFormat="1" applyFont="1" applyFill="1" applyBorder="1" applyAlignment="1">
      <alignment horizontal="right"/>
    </xf>
    <xf numFmtId="0" fontId="8" fillId="0" borderId="0" xfId="0" applyFont="1"/>
    <xf numFmtId="43" fontId="8" fillId="0" borderId="0" xfId="1" applyFont="1" applyAlignment="1">
      <alignment horizontal="center"/>
    </xf>
    <xf numFmtId="0" fontId="9" fillId="0" borderId="0" xfId="0" applyFont="1"/>
    <xf numFmtId="44" fontId="9" fillId="0" borderId="0" xfId="2" applyFont="1" applyAlignment="1">
      <alignment horizontal="right"/>
    </xf>
    <xf numFmtId="44" fontId="9" fillId="0" borderId="0" xfId="2" applyFont="1" applyFill="1" applyAlignment="1" applyProtection="1">
      <alignment horizontal="right"/>
    </xf>
    <xf numFmtId="43" fontId="8" fillId="0" borderId="0" xfId="1" applyFont="1"/>
    <xf numFmtId="44" fontId="8" fillId="0" borderId="4" xfId="2" applyFont="1" applyBorder="1"/>
    <xf numFmtId="43" fontId="0" fillId="0" borderId="0" xfId="0" applyNumberFormat="1"/>
    <xf numFmtId="44" fontId="8" fillId="0" borderId="0" xfId="2" applyFont="1"/>
    <xf numFmtId="44" fontId="9" fillId="5" borderId="0" xfId="2" applyFont="1" applyFill="1"/>
    <xf numFmtId="43" fontId="9" fillId="0" borderId="0" xfId="0" applyNumberFormat="1" applyFont="1"/>
    <xf numFmtId="0" fontId="9" fillId="0" borderId="0" xfId="0" quotePrefix="1" applyFont="1" applyAlignment="1">
      <alignment horizontal="right"/>
    </xf>
    <xf numFmtId="4" fontId="8" fillId="0" borderId="0" xfId="0" applyNumberFormat="1" applyFont="1"/>
    <xf numFmtId="43" fontId="8" fillId="0" borderId="5" xfId="1" applyFont="1" applyBorder="1"/>
    <xf numFmtId="0" fontId="2" fillId="6" borderId="0" xfId="0" applyFont="1" applyFill="1"/>
    <xf numFmtId="44" fontId="0" fillId="6" borderId="0" xfId="2" applyFont="1" applyFill="1"/>
    <xf numFmtId="44" fontId="2" fillId="6" borderId="0" xfId="0" applyNumberFormat="1" applyFont="1" applyFill="1"/>
    <xf numFmtId="0" fontId="0" fillId="6" borderId="0" xfId="0" applyFill="1"/>
    <xf numFmtId="44" fontId="2" fillId="6" borderId="0" xfId="2" applyFont="1" applyFill="1"/>
    <xf numFmtId="44" fontId="3" fillId="6" borderId="0" xfId="2" applyFont="1" applyFill="1"/>
    <xf numFmtId="0" fontId="0" fillId="3" borderId="0" xfId="0" applyFill="1"/>
    <xf numFmtId="14" fontId="0" fillId="0" borderId="0" xfId="0" applyNumberFormat="1"/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horizontal="justify" vertical="center"/>
    </xf>
    <xf numFmtId="0" fontId="6" fillId="0" borderId="0" xfId="0" applyFont="1"/>
    <xf numFmtId="0" fontId="0" fillId="0" borderId="6" xfId="0" applyBorder="1"/>
    <xf numFmtId="164" fontId="0" fillId="0" borderId="6" xfId="2" applyNumberFormat="1" applyFont="1" applyBorder="1"/>
    <xf numFmtId="164" fontId="0" fillId="0" borderId="6" xfId="0" applyNumberFormat="1" applyBorder="1"/>
    <xf numFmtId="0" fontId="11" fillId="0" borderId="6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3" fontId="10" fillId="0" borderId="6" xfId="0" applyNumberFormat="1" applyFont="1" applyBorder="1" applyAlignment="1">
      <alignment vertical="center" wrapText="1"/>
    </xf>
    <xf numFmtId="0" fontId="11" fillId="0" borderId="6" xfId="0" applyFont="1" applyBorder="1" applyAlignment="1">
      <alignment horizontal="justify" vertical="center" wrapText="1"/>
    </xf>
    <xf numFmtId="0" fontId="12" fillId="0" borderId="6" xfId="0" applyFont="1" applyBorder="1" applyAlignment="1">
      <alignment horizontal="justify" vertical="center" wrapText="1"/>
    </xf>
    <xf numFmtId="0" fontId="10" fillId="0" borderId="6" xfId="0" applyFont="1" applyBorder="1" applyAlignment="1">
      <alignment horizontal="justify" vertical="center" wrapText="1"/>
    </xf>
    <xf numFmtId="44" fontId="1" fillId="0" borderId="0" xfId="2" applyFont="1"/>
    <xf numFmtId="44" fontId="0" fillId="3" borderId="0" xfId="2" applyFont="1" applyFill="1"/>
    <xf numFmtId="3" fontId="10" fillId="3" borderId="6" xfId="0" applyNumberFormat="1" applyFont="1" applyFill="1" applyBorder="1" applyAlignment="1">
      <alignment vertical="center" wrapText="1"/>
    </xf>
    <xf numFmtId="0" fontId="10" fillId="3" borderId="6" xfId="0" applyFont="1" applyFill="1" applyBorder="1" applyAlignment="1">
      <alignment vertical="center" wrapText="1"/>
    </xf>
    <xf numFmtId="0" fontId="7" fillId="0" borderId="0" xfId="0" applyFont="1"/>
    <xf numFmtId="17" fontId="7" fillId="0" borderId="0" xfId="0" quotePrefix="1" applyNumberFormat="1" applyFont="1"/>
    <xf numFmtId="0" fontId="17" fillId="0" borderId="0" xfId="0" applyFont="1"/>
    <xf numFmtId="44" fontId="9" fillId="0" borderId="1" xfId="2" applyFont="1" applyBorder="1"/>
    <xf numFmtId="0" fontId="18" fillId="7" borderId="7" xfId="0" applyFont="1" applyFill="1" applyBorder="1" applyAlignment="1">
      <alignment horizontal="center" wrapText="1"/>
    </xf>
    <xf numFmtId="0" fontId="18" fillId="7" borderId="8" xfId="0" applyFont="1" applyFill="1" applyBorder="1" applyAlignment="1">
      <alignment horizontal="center" wrapText="1"/>
    </xf>
    <xf numFmtId="0" fontId="18" fillId="7" borderId="9" xfId="0" applyFont="1" applyFill="1" applyBorder="1" applyAlignment="1">
      <alignment horizontal="center" wrapText="1"/>
    </xf>
    <xf numFmtId="0" fontId="18" fillId="7" borderId="10" xfId="0" applyFont="1" applyFill="1" applyBorder="1" applyAlignment="1">
      <alignment horizontal="center" wrapText="1"/>
    </xf>
    <xf numFmtId="0" fontId="18" fillId="7" borderId="11" xfId="0" applyFont="1" applyFill="1" applyBorder="1" applyAlignment="1">
      <alignment horizontal="center" wrapText="1"/>
    </xf>
    <xf numFmtId="0" fontId="19" fillId="8" borderId="12" xfId="0" applyFont="1" applyFill="1" applyBorder="1" applyAlignment="1">
      <alignment wrapText="1"/>
    </xf>
    <xf numFmtId="0" fontId="19" fillId="8" borderId="13" xfId="0" applyFont="1" applyFill="1" applyBorder="1" applyAlignment="1">
      <alignment wrapText="1"/>
    </xf>
    <xf numFmtId="0" fontId="19" fillId="8" borderId="13" xfId="0" applyFont="1" applyFill="1" applyBorder="1" applyAlignment="1">
      <alignment horizontal="right" wrapText="1"/>
    </xf>
    <xf numFmtId="0" fontId="19" fillId="8" borderId="12" xfId="0" applyFont="1" applyFill="1" applyBorder="1" applyAlignment="1">
      <alignment horizontal="right" wrapText="1"/>
    </xf>
    <xf numFmtId="0" fontId="18" fillId="8" borderId="14" xfId="0" applyFont="1" applyFill="1" applyBorder="1" applyAlignment="1">
      <alignment wrapText="1"/>
    </xf>
    <xf numFmtId="0" fontId="18" fillId="8" borderId="15" xfId="0" applyFont="1" applyFill="1" applyBorder="1" applyAlignment="1">
      <alignment horizontal="right" wrapText="1"/>
    </xf>
    <xf numFmtId="0" fontId="18" fillId="8" borderId="14" xfId="0" applyFont="1" applyFill="1" applyBorder="1" applyAlignment="1">
      <alignment horizontal="right" wrapText="1"/>
    </xf>
    <xf numFmtId="164" fontId="10" fillId="0" borderId="6" xfId="2" applyNumberFormat="1" applyFont="1" applyBorder="1" applyAlignment="1">
      <alignment horizontal="right" vertical="center" wrapText="1"/>
    </xf>
    <xf numFmtId="164" fontId="10" fillId="0" borderId="6" xfId="2" applyNumberFormat="1" applyFont="1" applyBorder="1" applyAlignment="1">
      <alignment horizontal="justify" vertical="center" wrapText="1"/>
    </xf>
    <xf numFmtId="164" fontId="10" fillId="0" borderId="6" xfId="2" applyNumberFormat="1" applyFont="1" applyBorder="1" applyAlignment="1">
      <alignment vertical="center" wrapText="1"/>
    </xf>
    <xf numFmtId="164" fontId="0" fillId="0" borderId="0" xfId="2" applyNumberFormat="1" applyFont="1"/>
    <xf numFmtId="0" fontId="2" fillId="0" borderId="6" xfId="0" applyFont="1" applyBorder="1"/>
    <xf numFmtId="0" fontId="0" fillId="0" borderId="6" xfId="0" applyBorder="1" applyAlignment="1">
      <alignment horizontal="left" indent="4"/>
    </xf>
    <xf numFmtId="0" fontId="0" fillId="0" borderId="6" xfId="0" applyBorder="1" applyAlignment="1">
      <alignment horizontal="justify" vertical="center" wrapText="1"/>
    </xf>
    <xf numFmtId="164" fontId="0" fillId="0" borderId="6" xfId="2" applyNumberFormat="1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3" fontId="0" fillId="0" borderId="6" xfId="0" applyNumberFormat="1" applyBorder="1"/>
    <xf numFmtId="0" fontId="0" fillId="0" borderId="0" xfId="0" applyAlignment="1">
      <alignment wrapText="1"/>
    </xf>
    <xf numFmtId="0" fontId="16" fillId="0" borderId="16" xfId="0" applyFont="1" applyBorder="1" applyAlignment="1">
      <alignment vertical="center" wrapText="1"/>
    </xf>
    <xf numFmtId="0" fontId="16" fillId="0" borderId="16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2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/>
    </xf>
    <xf numFmtId="0" fontId="10" fillId="0" borderId="17" xfId="0" applyFont="1" applyBorder="1" applyAlignment="1">
      <alignment horizontal="justify" vertical="center" wrapText="1"/>
    </xf>
    <xf numFmtId="0" fontId="10" fillId="0" borderId="6" xfId="0" applyFont="1" applyBorder="1" applyAlignment="1">
      <alignment horizontal="justify" vertical="center"/>
    </xf>
    <xf numFmtId="44" fontId="0" fillId="0" borderId="6" xfId="2" applyFont="1" applyBorder="1"/>
    <xf numFmtId="0" fontId="16" fillId="0" borderId="17" xfId="0" applyFont="1" applyBorder="1" applyAlignment="1">
      <alignment vertical="center" wrapText="1"/>
    </xf>
    <xf numFmtId="0" fontId="16" fillId="0" borderId="17" xfId="0" applyFont="1" applyBorder="1" applyAlignment="1">
      <alignment vertical="center"/>
    </xf>
    <xf numFmtId="0" fontId="11" fillId="0" borderId="18" xfId="0" applyFont="1" applyBorder="1" applyAlignment="1">
      <alignment horizontal="justify" vertical="center" wrapText="1"/>
    </xf>
    <xf numFmtId="0" fontId="11" fillId="0" borderId="16" xfId="0" applyFont="1" applyBorder="1" applyAlignment="1">
      <alignment horizontal="justify" vertical="center" wrapText="1"/>
    </xf>
    <xf numFmtId="0" fontId="10" fillId="0" borderId="19" xfId="0" applyFont="1" applyBorder="1" applyAlignment="1">
      <alignment horizontal="justify" vertical="center" wrapText="1"/>
    </xf>
    <xf numFmtId="0" fontId="20" fillId="0" borderId="0" xfId="4"/>
    <xf numFmtId="0" fontId="12" fillId="0" borderId="19" xfId="0" applyFont="1" applyBorder="1" applyAlignment="1">
      <alignment horizontal="justify" vertical="center" wrapText="1"/>
    </xf>
    <xf numFmtId="0" fontId="12" fillId="0" borderId="17" xfId="0" applyFont="1" applyBorder="1" applyAlignment="1">
      <alignment horizontal="justify" vertical="center" wrapText="1"/>
    </xf>
    <xf numFmtId="0" fontId="11" fillId="0" borderId="19" xfId="0" applyFont="1" applyBorder="1" applyAlignment="1">
      <alignment horizontal="justify" vertical="center" wrapText="1"/>
    </xf>
    <xf numFmtId="3" fontId="11" fillId="0" borderId="17" xfId="0" applyNumberFormat="1" applyFont="1" applyBorder="1" applyAlignment="1">
      <alignment horizontal="justify" vertical="center" wrapText="1"/>
    </xf>
    <xf numFmtId="0" fontId="11" fillId="0" borderId="20" xfId="0" applyFont="1" applyBorder="1" applyAlignment="1">
      <alignment horizontal="justify" vertical="center" wrapText="1"/>
    </xf>
    <xf numFmtId="0" fontId="10" fillId="0" borderId="21" xfId="0" applyFont="1" applyBorder="1" applyAlignment="1">
      <alignment horizontal="justify" vertical="center" wrapText="1"/>
    </xf>
    <xf numFmtId="0" fontId="11" fillId="0" borderId="21" xfId="0" applyFont="1" applyBorder="1" applyAlignment="1">
      <alignment horizontal="justify" vertical="center" wrapText="1"/>
    </xf>
    <xf numFmtId="3" fontId="12" fillId="3" borderId="17" xfId="0" applyNumberFormat="1" applyFont="1" applyFill="1" applyBorder="1" applyAlignment="1">
      <alignment vertical="center"/>
    </xf>
    <xf numFmtId="0" fontId="10" fillId="3" borderId="17" xfId="0" applyFont="1" applyFill="1" applyBorder="1" applyAlignment="1">
      <alignment horizontal="justify" vertical="center" wrapText="1"/>
    </xf>
    <xf numFmtId="3" fontId="10" fillId="3" borderId="17" xfId="0" applyNumberFormat="1" applyFont="1" applyFill="1" applyBorder="1" applyAlignment="1">
      <alignment horizontal="justify" vertical="center" wrapText="1"/>
    </xf>
    <xf numFmtId="4" fontId="10" fillId="3" borderId="17" xfId="0" applyNumberFormat="1" applyFont="1" applyFill="1" applyBorder="1" applyAlignment="1">
      <alignment horizontal="justify" vertical="center" wrapText="1"/>
    </xf>
    <xf numFmtId="164" fontId="0" fillId="0" borderId="6" xfId="2" applyNumberFormat="1" applyFont="1" applyFill="1" applyBorder="1"/>
    <xf numFmtId="44" fontId="10" fillId="3" borderId="17" xfId="0" applyNumberFormat="1" applyFont="1" applyFill="1" applyBorder="1" applyAlignment="1">
      <alignment horizontal="justify" vertical="center" wrapText="1"/>
    </xf>
    <xf numFmtId="165" fontId="2" fillId="0" borderId="0" xfId="0" applyNumberFormat="1" applyFont="1"/>
    <xf numFmtId="165" fontId="0" fillId="0" borderId="0" xfId="0" applyNumberFormat="1"/>
    <xf numFmtId="165" fontId="1" fillId="0" borderId="0" xfId="2" applyNumberFormat="1" applyFont="1"/>
    <xf numFmtId="164" fontId="10" fillId="0" borderId="6" xfId="2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5" fillId="4" borderId="2" xfId="0" applyFont="1" applyFill="1" applyBorder="1" applyAlignment="1">
      <alignment horizontal="right"/>
    </xf>
    <xf numFmtId="0" fontId="0" fillId="4" borderId="1" xfId="0" applyFill="1" applyBorder="1" applyAlignment="1">
      <alignment horizontal="right"/>
    </xf>
    <xf numFmtId="0" fontId="0" fillId="4" borderId="3" xfId="0" applyFill="1" applyBorder="1" applyAlignment="1">
      <alignment horizontal="right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ax.service.gov.uk/guidance/paye-tax-calculator" TargetMode="External"/><Relationship Id="rId1" Type="http://schemas.openxmlformats.org/officeDocument/2006/relationships/hyperlink" Target="https://www.tax.service.gov.uk/guidance/work-out-employer-employee-national-insurance-contribution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4990D-713E-4F3E-92F6-5C92F7DF3D9C}">
  <dimension ref="B1:G15"/>
  <sheetViews>
    <sheetView tabSelected="1" workbookViewId="0">
      <selection activeCell="J12" sqref="J12"/>
    </sheetView>
  </sheetViews>
  <sheetFormatPr defaultRowHeight="14.4" x14ac:dyDescent="0.3"/>
  <cols>
    <col min="2" max="2" width="30.88671875" customWidth="1"/>
    <col min="3" max="3" width="12.44140625" bestFit="1" customWidth="1"/>
    <col min="6" max="6" width="22.21875" bestFit="1" customWidth="1"/>
    <col min="7" max="7" width="11.44140625" bestFit="1" customWidth="1"/>
  </cols>
  <sheetData>
    <row r="1" spans="2:7" x14ac:dyDescent="0.3">
      <c r="B1" s="1" t="s">
        <v>220</v>
      </c>
    </row>
    <row r="3" spans="2:7" x14ac:dyDescent="0.3">
      <c r="B3" s="1" t="s">
        <v>230</v>
      </c>
      <c r="C3" s="49"/>
      <c r="F3" s="1" t="s">
        <v>229</v>
      </c>
    </row>
    <row r="4" spans="2:7" x14ac:dyDescent="0.3">
      <c r="B4" t="s">
        <v>228</v>
      </c>
      <c r="C4" s="5">
        <f>'I &amp; E 26 to 27'!C11-'I &amp; E 26 to 27'!C10</f>
        <v>41799.999999999993</v>
      </c>
      <c r="F4" t="s">
        <v>223</v>
      </c>
      <c r="G4" s="5">
        <f>'Monthly Reconcilitation'!B5</f>
        <v>19202.27</v>
      </c>
    </row>
    <row r="5" spans="2:7" x14ac:dyDescent="0.3">
      <c r="B5" t="str">
        <f>'I &amp; E 26 to 27'!A10</f>
        <v xml:space="preserve">CIL Balance </v>
      </c>
      <c r="C5" s="5">
        <f>'I &amp; E 26 to 27'!C10</f>
        <v>46412.549999999996</v>
      </c>
      <c r="F5" t="s">
        <v>224</v>
      </c>
      <c r="G5" s="5">
        <f>'Monthly Reconcilitation'!E4</f>
        <v>7550.0699999999988</v>
      </c>
    </row>
    <row r="6" spans="2:7" x14ac:dyDescent="0.3">
      <c r="B6" t="str">
        <f>'I &amp; E 26 to 27'!A13</f>
        <v>Cash available (unreserved)</v>
      </c>
      <c r="C6" s="5">
        <f>'I &amp; E 26 to 27'!C13</f>
        <v>44194.290000000008</v>
      </c>
      <c r="G6" s="5"/>
    </row>
    <row r="7" spans="2:7" x14ac:dyDescent="0.3">
      <c r="C7" s="5"/>
      <c r="F7" s="1" t="str">
        <f>'I &amp; E 26 to 27'!A113</f>
        <v>Burial Ground Breakdown</v>
      </c>
      <c r="G7" s="5"/>
    </row>
    <row r="8" spans="2:7" x14ac:dyDescent="0.3">
      <c r="B8" s="1" t="s">
        <v>274</v>
      </c>
      <c r="F8" t="str">
        <f>'I &amp; E 26 to 27'!A114</f>
        <v>Income</v>
      </c>
      <c r="G8" s="5">
        <f>'I &amp; E 26 to 27'!C114</f>
        <v>12795</v>
      </c>
    </row>
    <row r="9" spans="2:7" x14ac:dyDescent="0.3">
      <c r="B9" t="str">
        <f>Forecast!B12</f>
        <v>Committed spend - CIL</v>
      </c>
      <c r="C9" s="2">
        <f>Forecast!C12</f>
        <v>11914.8</v>
      </c>
      <c r="F9" t="str">
        <f>'I &amp; E 26 to 27'!A115</f>
        <v>Spend - excluding Salary</v>
      </c>
      <c r="G9" s="5">
        <f>'I &amp; E 26 to 27'!C115</f>
        <v>745.96</v>
      </c>
    </row>
    <row r="10" spans="2:7" x14ac:dyDescent="0.3">
      <c r="B10" t="str">
        <f>Forecast!B13</f>
        <v>Committed spend - Other</v>
      </c>
      <c r="C10" s="2">
        <f>Forecast!C13</f>
        <v>19703.940000000002</v>
      </c>
      <c r="F10" t="str">
        <f>'I &amp; E 26 to 27'!A116</f>
        <v>Spend - Salary</v>
      </c>
      <c r="G10" s="5">
        <f>'I &amp; E 26 to 27'!C116</f>
        <v>1341.0941666666665</v>
      </c>
    </row>
    <row r="11" spans="2:7" x14ac:dyDescent="0.3">
      <c r="B11" t="str">
        <f>Forecast!B14</f>
        <v>Training, maintenance, litterpick budget</v>
      </c>
      <c r="C11" s="2">
        <f>Forecast!C14</f>
        <v>2625</v>
      </c>
      <c r="F11" t="s">
        <v>414</v>
      </c>
      <c r="G11" s="5">
        <f>'I &amp; E 26 to 27'!C117</f>
        <v>9572.7200000000012</v>
      </c>
    </row>
    <row r="12" spans="2:7" x14ac:dyDescent="0.3">
      <c r="B12" t="str">
        <f>Forecast!B15</f>
        <v>Forecast income</v>
      </c>
      <c r="C12" s="2">
        <f>Forecast!C15</f>
        <v>1664.01</v>
      </c>
      <c r="F12" t="str">
        <f>'I &amp; E 26 to 27'!A118</f>
        <v>Total</v>
      </c>
      <c r="G12" s="5">
        <f>'I &amp; E 26 to 27'!C118</f>
        <v>1135.2258333333339</v>
      </c>
    </row>
    <row r="13" spans="2:7" x14ac:dyDescent="0.3">
      <c r="B13" t="str">
        <f>Forecast!B19</f>
        <v>If we go ahead with Tranquil Woods purchase and initial setup</v>
      </c>
      <c r="C13" s="2">
        <f>Forecast!C19</f>
        <v>38800</v>
      </c>
    </row>
    <row r="14" spans="2:7" x14ac:dyDescent="0.3">
      <c r="B14" s="1" t="str">
        <f>Forecast!B20</f>
        <v>Total CIL leftover</v>
      </c>
      <c r="C14" s="8">
        <f>Forecast!C20</f>
        <v>0</v>
      </c>
      <c r="F14" t="s">
        <v>275</v>
      </c>
      <c r="G14" s="2">
        <f>Forecast!G27</f>
        <v>47650</v>
      </c>
    </row>
    <row r="15" spans="2:7" x14ac:dyDescent="0.3">
      <c r="B15" s="1" t="str">
        <f>Forecast!B21</f>
        <v>Total cash leftover</v>
      </c>
      <c r="C15" s="8">
        <f>Forecast!C21</f>
        <v>19227.109999999997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1C232-D275-48EA-BD8B-C5A4A3BEF46C}">
  <dimension ref="A2:K118"/>
  <sheetViews>
    <sheetView topLeftCell="A94" workbookViewId="0">
      <selection activeCell="C35" sqref="C35"/>
    </sheetView>
  </sheetViews>
  <sheetFormatPr defaultRowHeight="14.4" x14ac:dyDescent="0.3"/>
  <cols>
    <col min="1" max="1" width="38.44140625" customWidth="1"/>
    <col min="2" max="2" width="17.33203125" customWidth="1"/>
    <col min="3" max="4" width="12.5546875" bestFit="1" customWidth="1"/>
    <col min="6" max="6" width="14.88671875" bestFit="1" customWidth="1"/>
    <col min="8" max="8" width="14.88671875" customWidth="1"/>
    <col min="9" max="9" width="12.5546875" customWidth="1"/>
    <col min="11" max="11" width="11.44140625" bestFit="1" customWidth="1"/>
  </cols>
  <sheetData>
    <row r="2" spans="1:8" x14ac:dyDescent="0.3">
      <c r="A2" s="1" t="s">
        <v>211</v>
      </c>
      <c r="B2" s="8">
        <v>126258.95999999999</v>
      </c>
    </row>
    <row r="3" spans="1:8" x14ac:dyDescent="0.3">
      <c r="A3" s="1" t="s">
        <v>210</v>
      </c>
      <c r="B3" s="8">
        <f>'Monthly Reconcilitation'!B14</f>
        <v>132406.84</v>
      </c>
    </row>
    <row r="4" spans="1:8" x14ac:dyDescent="0.3">
      <c r="A4" s="1"/>
      <c r="B4" s="8"/>
      <c r="C4" s="111" t="s">
        <v>1</v>
      </c>
      <c r="D4" s="111"/>
      <c r="E4" s="111"/>
    </row>
    <row r="5" spans="1:8" x14ac:dyDescent="0.3">
      <c r="A5" s="1" t="s">
        <v>172</v>
      </c>
      <c r="B5" s="8"/>
      <c r="C5" s="1" t="s">
        <v>5</v>
      </c>
      <c r="D5" s="1" t="s">
        <v>6</v>
      </c>
      <c r="E5" s="1"/>
    </row>
    <row r="6" spans="1:8" x14ac:dyDescent="0.3">
      <c r="A6" s="9" t="s">
        <v>82</v>
      </c>
      <c r="B6" s="10"/>
      <c r="C6" s="10">
        <v>2800</v>
      </c>
      <c r="D6" s="10">
        <v>15000</v>
      </c>
      <c r="E6" s="4"/>
    </row>
    <row r="7" spans="1:8" x14ac:dyDescent="0.3">
      <c r="A7" s="9" t="s">
        <v>83</v>
      </c>
      <c r="B7" s="10"/>
      <c r="C7" s="10">
        <v>2000</v>
      </c>
      <c r="D7" s="10">
        <v>5000</v>
      </c>
      <c r="E7" s="4"/>
    </row>
    <row r="8" spans="1:8" x14ac:dyDescent="0.3">
      <c r="A8" s="9" t="s">
        <v>84</v>
      </c>
      <c r="B8" s="10"/>
      <c r="C8" s="10">
        <v>1000</v>
      </c>
      <c r="D8" s="10">
        <v>2000</v>
      </c>
      <c r="E8" s="4"/>
    </row>
    <row r="9" spans="1:8" x14ac:dyDescent="0.3">
      <c r="A9" s="9" t="s">
        <v>226</v>
      </c>
      <c r="B9" s="10"/>
      <c r="C9" s="10">
        <v>36000</v>
      </c>
      <c r="D9" s="10"/>
      <c r="E9" s="4"/>
    </row>
    <row r="10" spans="1:8" x14ac:dyDescent="0.3">
      <c r="A10" s="9" t="s">
        <v>222</v>
      </c>
      <c r="C10" s="5">
        <f>'CIL Report'!I8</f>
        <v>46412.549999999996</v>
      </c>
      <c r="D10" s="10">
        <v>56853.17</v>
      </c>
      <c r="E10" s="4"/>
    </row>
    <row r="11" spans="1:8" x14ac:dyDescent="0.3">
      <c r="A11" s="11" t="s">
        <v>85</v>
      </c>
      <c r="C11" s="5">
        <f>SUM(C6:C10)</f>
        <v>88212.549999999988</v>
      </c>
      <c r="D11" s="12">
        <v>78853.17</v>
      </c>
      <c r="E11" s="4"/>
    </row>
    <row r="12" spans="1:8" x14ac:dyDescent="0.3">
      <c r="A12" s="11"/>
      <c r="C12" s="5"/>
      <c r="D12" s="5"/>
      <c r="E12" s="4"/>
    </row>
    <row r="13" spans="1:8" x14ac:dyDescent="0.3">
      <c r="A13" s="11" t="s">
        <v>231</v>
      </c>
      <c r="B13" s="6"/>
      <c r="C13" s="6">
        <f>B3-C11</f>
        <v>44194.290000000008</v>
      </c>
      <c r="D13" s="6">
        <f>B2-D11</f>
        <v>47405.789999999994</v>
      </c>
      <c r="E13" s="4"/>
    </row>
    <row r="15" spans="1:8" x14ac:dyDescent="0.3">
      <c r="A15" s="1" t="s">
        <v>0</v>
      </c>
      <c r="B15" s="1"/>
      <c r="C15" s="111" t="s">
        <v>1</v>
      </c>
      <c r="D15" s="111"/>
      <c r="E15" s="111"/>
      <c r="F15" s="28" t="s">
        <v>2</v>
      </c>
      <c r="H15" s="1" t="s">
        <v>3</v>
      </c>
    </row>
    <row r="16" spans="1:8" x14ac:dyDescent="0.3">
      <c r="B16" s="1" t="s">
        <v>4</v>
      </c>
      <c r="C16" s="1" t="s">
        <v>5</v>
      </c>
      <c r="D16" s="1" t="s">
        <v>6</v>
      </c>
      <c r="E16" s="1" t="s">
        <v>7</v>
      </c>
      <c r="F16" s="28" t="s">
        <v>5</v>
      </c>
    </row>
    <row r="17" spans="1:11" x14ac:dyDescent="0.3">
      <c r="A17" t="s">
        <v>8</v>
      </c>
      <c r="B17" t="s">
        <v>110</v>
      </c>
      <c r="C17" s="50">
        <v>280.53999999999996</v>
      </c>
      <c r="D17" s="3">
        <v>260</v>
      </c>
      <c r="E17" s="4">
        <f t="shared" ref="E17:E19" si="0">IF(IFERROR(C17/D17,0)=0,0,C17/D17)</f>
        <v>1.079</v>
      </c>
      <c r="F17" s="29">
        <v>210</v>
      </c>
      <c r="H17" t="str">
        <f>IF(I17=0,"","Over budget by")</f>
        <v>Over budget by</v>
      </c>
      <c r="I17" s="5">
        <f>IF(IF((ISERROR(D17-C17&lt;0))=TRUE,0,-(D17-C17))&lt;0,0,IF((ISERROR(D17-C17&lt;0))=TRUE,0,-(D17-C17)))</f>
        <v>20.539999999999964</v>
      </c>
    </row>
    <row r="18" spans="1:11" x14ac:dyDescent="0.3">
      <c r="A18" t="s">
        <v>9</v>
      </c>
      <c r="B18" t="s">
        <v>111</v>
      </c>
      <c r="C18" s="50">
        <v>246.54999999999998</v>
      </c>
      <c r="D18" s="3">
        <v>500</v>
      </c>
      <c r="E18" s="4">
        <f t="shared" si="0"/>
        <v>0.49309999999999998</v>
      </c>
      <c r="F18" s="29">
        <v>680.35</v>
      </c>
      <c r="H18" t="str">
        <f t="shared" ref="H18:H81" si="1">IF(I18=0,"","Over budget by")</f>
        <v/>
      </c>
      <c r="I18" s="5">
        <f t="shared" ref="I18:I27" si="2">IF(IF((ISERROR(D18-C18&lt;0))=TRUE,0,-(D18-C18))&lt;0,0,IF((ISERROR(D18-C18&lt;0))=TRUE,0,-(D18-C18)))</f>
        <v>0</v>
      </c>
    </row>
    <row r="19" spans="1:11" x14ac:dyDescent="0.3">
      <c r="A19" t="s">
        <v>10</v>
      </c>
      <c r="B19" t="s">
        <v>112</v>
      </c>
      <c r="C19" s="50">
        <v>12795</v>
      </c>
      <c r="D19" s="3">
        <v>15000</v>
      </c>
      <c r="E19" s="4">
        <f t="shared" si="0"/>
        <v>0.85299999999999998</v>
      </c>
      <c r="F19" s="29">
        <v>21680</v>
      </c>
      <c r="H19" t="str">
        <f t="shared" si="1"/>
        <v/>
      </c>
      <c r="I19" s="5">
        <f t="shared" si="2"/>
        <v>0</v>
      </c>
    </row>
    <row r="20" spans="1:11" x14ac:dyDescent="0.3">
      <c r="A20" t="s">
        <v>11</v>
      </c>
      <c r="B20" t="s">
        <v>113</v>
      </c>
      <c r="C20" s="50">
        <v>0</v>
      </c>
      <c r="D20" s="3">
        <v>0</v>
      </c>
      <c r="E20" s="4">
        <f>IF(IFERROR(C20/D20,0)=0,0,C20/D20)</f>
        <v>0</v>
      </c>
      <c r="F20" s="29">
        <v>0</v>
      </c>
      <c r="H20" t="str">
        <f t="shared" si="1"/>
        <v/>
      </c>
      <c r="I20" s="5">
        <f t="shared" si="2"/>
        <v>0</v>
      </c>
    </row>
    <row r="21" spans="1:11" x14ac:dyDescent="0.3">
      <c r="A21" t="s">
        <v>12</v>
      </c>
      <c r="B21" t="s">
        <v>114</v>
      </c>
      <c r="C21" s="50">
        <v>2429</v>
      </c>
      <c r="D21" s="3">
        <v>2429</v>
      </c>
      <c r="E21" s="4">
        <f t="shared" ref="E21:E27" si="3">IF(IFERROR(C21/D21,0)=0,0,C21/D21)</f>
        <v>1</v>
      </c>
      <c r="F21" s="29">
        <v>2429</v>
      </c>
      <c r="H21" t="str">
        <f t="shared" si="1"/>
        <v/>
      </c>
      <c r="I21" s="5">
        <f t="shared" si="2"/>
        <v>0</v>
      </c>
    </row>
    <row r="22" spans="1:11" x14ac:dyDescent="0.3">
      <c r="A22" t="s">
        <v>13</v>
      </c>
      <c r="B22" t="s">
        <v>115</v>
      </c>
      <c r="C22" s="50">
        <v>676</v>
      </c>
      <c r="D22" s="3">
        <v>676</v>
      </c>
      <c r="E22" s="4">
        <f t="shared" si="3"/>
        <v>1</v>
      </c>
      <c r="F22" s="29">
        <v>676</v>
      </c>
      <c r="H22" t="str">
        <f t="shared" si="1"/>
        <v/>
      </c>
      <c r="I22" s="5">
        <f t="shared" si="2"/>
        <v>0</v>
      </c>
    </row>
    <row r="23" spans="1:11" x14ac:dyDescent="0.3">
      <c r="A23" t="s">
        <v>14</v>
      </c>
      <c r="B23" t="s">
        <v>116</v>
      </c>
      <c r="C23" s="50">
        <v>0</v>
      </c>
      <c r="D23" s="3">
        <v>0</v>
      </c>
      <c r="E23" s="4">
        <f t="shared" si="3"/>
        <v>0</v>
      </c>
      <c r="F23" s="29">
        <v>90</v>
      </c>
      <c r="H23" t="str">
        <f t="shared" si="1"/>
        <v/>
      </c>
      <c r="I23" s="5">
        <f t="shared" si="2"/>
        <v>0</v>
      </c>
    </row>
    <row r="24" spans="1:11" x14ac:dyDescent="0.3">
      <c r="A24" t="s">
        <v>15</v>
      </c>
      <c r="B24" t="s">
        <v>117</v>
      </c>
      <c r="C24" s="50">
        <v>29448.694</v>
      </c>
      <c r="D24" s="3">
        <v>29448.69</v>
      </c>
      <c r="E24" s="4">
        <f t="shared" si="3"/>
        <v>1.0000001358294717</v>
      </c>
      <c r="F24" s="29">
        <v>22652.84</v>
      </c>
      <c r="H24" t="str">
        <f t="shared" si="1"/>
        <v>Over budget by</v>
      </c>
      <c r="I24" s="5">
        <f t="shared" si="2"/>
        <v>4.0000000008149073E-3</v>
      </c>
      <c r="K24" s="5"/>
    </row>
    <row r="25" spans="1:11" x14ac:dyDescent="0.3">
      <c r="A25" t="s">
        <v>16</v>
      </c>
      <c r="B25" t="s">
        <v>118</v>
      </c>
      <c r="C25" s="50">
        <v>2117.02</v>
      </c>
      <c r="D25" s="3">
        <v>4000</v>
      </c>
      <c r="E25" s="4">
        <f t="shared" si="3"/>
        <v>0.52925500000000003</v>
      </c>
      <c r="F25" s="29">
        <v>4590.92</v>
      </c>
      <c r="H25" t="str">
        <f t="shared" si="1"/>
        <v/>
      </c>
      <c r="I25" s="5">
        <f t="shared" si="2"/>
        <v>0</v>
      </c>
    </row>
    <row r="26" spans="1:11" x14ac:dyDescent="0.3">
      <c r="A26" s="1" t="s">
        <v>204</v>
      </c>
      <c r="C26" s="2">
        <f>SUM(C17:C25)-C24</f>
        <v>18544.109999999997</v>
      </c>
      <c r="D26" s="2">
        <v>22865</v>
      </c>
      <c r="E26" s="4">
        <f t="shared" si="3"/>
        <v>0.81102602230483256</v>
      </c>
      <c r="F26" s="29">
        <v>30356.269999999997</v>
      </c>
      <c r="H26" t="str">
        <f t="shared" si="1"/>
        <v/>
      </c>
      <c r="I26" s="5">
        <f t="shared" si="2"/>
        <v>0</v>
      </c>
    </row>
    <row r="27" spans="1:11" x14ac:dyDescent="0.3">
      <c r="A27" s="1" t="s">
        <v>212</v>
      </c>
      <c r="B27" s="1"/>
      <c r="C27" s="8">
        <f>SUM(C17:C25)</f>
        <v>47992.803999999996</v>
      </c>
      <c r="D27" s="6">
        <v>52313.69</v>
      </c>
      <c r="E27" s="7">
        <f t="shared" si="3"/>
        <v>0.91740429703964665</v>
      </c>
      <c r="F27" s="30">
        <v>53009.11</v>
      </c>
      <c r="H27" t="str">
        <f t="shared" si="1"/>
        <v/>
      </c>
      <c r="I27" s="5">
        <f t="shared" si="2"/>
        <v>0</v>
      </c>
    </row>
    <row r="28" spans="1:11" x14ac:dyDescent="0.3">
      <c r="F28" s="31"/>
      <c r="H28" t="str">
        <f t="shared" si="1"/>
        <v/>
      </c>
      <c r="I28" s="5"/>
    </row>
    <row r="29" spans="1:11" x14ac:dyDescent="0.3">
      <c r="A29" s="1" t="s">
        <v>18</v>
      </c>
      <c r="B29" s="1"/>
      <c r="F29" s="31"/>
      <c r="H29" t="str">
        <f t="shared" si="1"/>
        <v/>
      </c>
      <c r="I29" s="5"/>
    </row>
    <row r="30" spans="1:11" x14ac:dyDescent="0.3">
      <c r="A30" s="1" t="s">
        <v>19</v>
      </c>
      <c r="B30" s="1"/>
      <c r="F30" s="31"/>
      <c r="H30" t="str">
        <f>IF(I30=0,"","Over budget by")</f>
        <v/>
      </c>
      <c r="I30" s="5"/>
    </row>
    <row r="31" spans="1:11" x14ac:dyDescent="0.3">
      <c r="A31" t="s">
        <v>20</v>
      </c>
      <c r="B31" t="s">
        <v>119</v>
      </c>
      <c r="C31" s="50" t="s">
        <v>415</v>
      </c>
      <c r="D31" s="3">
        <v>22156.68</v>
      </c>
      <c r="E31" s="4">
        <f t="shared" ref="E31:E37" si="4">IF(IFERROR(C31/D31,0)=0,0,C31/D31)</f>
        <v>0</v>
      </c>
      <c r="F31" s="29">
        <v>14221.060000000001</v>
      </c>
      <c r="H31" t="str">
        <f t="shared" si="1"/>
        <v/>
      </c>
      <c r="I31" s="5">
        <f t="shared" ref="I31" si="5">IF(IF((ISERROR(D31-C31&lt;0))=TRUE,0,-(D31-C31))&lt;0,0,IF((ISERROR(D31-C31&lt;0))=TRUE,0,-(D31-C31)))</f>
        <v>0</v>
      </c>
    </row>
    <row r="32" spans="1:11" x14ac:dyDescent="0.3">
      <c r="A32" t="s">
        <v>21</v>
      </c>
      <c r="B32" t="s">
        <v>120</v>
      </c>
      <c r="C32" s="50" t="s">
        <v>415</v>
      </c>
      <c r="D32" s="3">
        <v>0</v>
      </c>
      <c r="E32" s="4">
        <f>IF(IFERROR(C32/D32,0)=0,0,C32/D32)</f>
        <v>0</v>
      </c>
      <c r="F32" s="29">
        <v>2859.2</v>
      </c>
      <c r="I32" s="5"/>
    </row>
    <row r="33" spans="1:11" x14ac:dyDescent="0.3">
      <c r="A33" t="s">
        <v>22</v>
      </c>
      <c r="B33" t="s">
        <v>121</v>
      </c>
      <c r="C33" s="50" t="s">
        <v>415</v>
      </c>
      <c r="D33" s="3">
        <v>0</v>
      </c>
      <c r="E33" s="4">
        <f t="shared" si="4"/>
        <v>0</v>
      </c>
      <c r="F33" s="29">
        <v>269.52999999999997</v>
      </c>
      <c r="I33" s="5"/>
      <c r="K33" t="s">
        <v>23</v>
      </c>
    </row>
    <row r="34" spans="1:11" x14ac:dyDescent="0.3">
      <c r="A34" t="s">
        <v>24</v>
      </c>
      <c r="B34" t="s">
        <v>122</v>
      </c>
      <c r="C34" s="50" t="s">
        <v>415</v>
      </c>
      <c r="D34" s="3">
        <v>2573.5</v>
      </c>
      <c r="E34" s="4">
        <f t="shared" si="4"/>
        <v>0</v>
      </c>
      <c r="F34" s="29">
        <v>1700.86</v>
      </c>
      <c r="H34" t="str">
        <f t="shared" si="1"/>
        <v/>
      </c>
      <c r="I34" s="5">
        <f t="shared" ref="I34:I35" si="6">IF(IF((ISERROR(D34-C34&lt;0))=TRUE,0,-(D34-C34))&lt;0,0,IF((ISERROR(D34-C34&lt;0))=TRUE,0,-(D34-C34)))</f>
        <v>0</v>
      </c>
    </row>
    <row r="35" spans="1:11" x14ac:dyDescent="0.3">
      <c r="A35" t="s">
        <v>25</v>
      </c>
      <c r="B35" t="s">
        <v>123</v>
      </c>
      <c r="C35" s="50" t="s">
        <v>415</v>
      </c>
      <c r="D35" s="3">
        <v>350</v>
      </c>
      <c r="E35" s="4">
        <f t="shared" si="4"/>
        <v>0</v>
      </c>
      <c r="F35" s="29">
        <v>309.78999999999996</v>
      </c>
      <c r="H35" t="str">
        <f t="shared" si="1"/>
        <v/>
      </c>
      <c r="I35" s="5">
        <f t="shared" si="6"/>
        <v>0</v>
      </c>
    </row>
    <row r="36" spans="1:11" x14ac:dyDescent="0.3">
      <c r="A36" t="s">
        <v>26</v>
      </c>
      <c r="B36" t="s">
        <v>124</v>
      </c>
      <c r="C36" s="50" t="s">
        <v>415</v>
      </c>
      <c r="D36" s="3">
        <v>0</v>
      </c>
      <c r="E36" s="4">
        <f t="shared" si="4"/>
        <v>0</v>
      </c>
      <c r="F36" s="29">
        <v>390.38</v>
      </c>
      <c r="I36" s="5"/>
    </row>
    <row r="37" spans="1:11" x14ac:dyDescent="0.3">
      <c r="A37" s="1" t="s">
        <v>27</v>
      </c>
      <c r="C37" s="8">
        <v>16093.13</v>
      </c>
      <c r="D37" s="8">
        <v>25080.18</v>
      </c>
      <c r="E37" s="7">
        <f t="shared" si="4"/>
        <v>0.64166724481243753</v>
      </c>
      <c r="F37" s="30">
        <v>19750.820000000003</v>
      </c>
      <c r="H37" t="str">
        <f t="shared" si="1"/>
        <v/>
      </c>
      <c r="I37" s="5">
        <f t="shared" ref="I37" si="7">IF(IF((ISERROR(D37-C37&lt;0))=TRUE,0,-(D37-C37))&lt;0,0,IF((ISERROR(D37-C37&lt;0))=TRUE,0,-(D37-C37)))</f>
        <v>0</v>
      </c>
    </row>
    <row r="38" spans="1:11" x14ac:dyDescent="0.3">
      <c r="C38" s="2"/>
      <c r="E38" s="4"/>
      <c r="F38" s="31"/>
      <c r="I38" s="5"/>
    </row>
    <row r="39" spans="1:11" x14ac:dyDescent="0.3">
      <c r="A39" s="1" t="s">
        <v>28</v>
      </c>
      <c r="C39" s="2"/>
      <c r="E39" s="4"/>
      <c r="F39" s="31"/>
      <c r="I39" s="5"/>
    </row>
    <row r="40" spans="1:11" x14ac:dyDescent="0.3">
      <c r="A40" t="s">
        <v>29</v>
      </c>
      <c r="B40" t="s">
        <v>125</v>
      </c>
      <c r="C40" s="50">
        <v>258.12</v>
      </c>
      <c r="D40" s="3">
        <v>1200</v>
      </c>
      <c r="E40" s="4">
        <f t="shared" ref="E40:E53" si="8">IF(IFERROR(C40/D40,0)=0,0,C40/D40)</f>
        <v>0.21510000000000001</v>
      </c>
      <c r="F40" s="29">
        <v>1194.3</v>
      </c>
      <c r="H40" t="str">
        <f t="shared" si="1"/>
        <v/>
      </c>
      <c r="I40" s="5">
        <f t="shared" ref="I40:I53" si="9">IF(IF((ISERROR(D40-C40&lt;0))=TRUE,0,-(D40-C40))&lt;0,0,IF((ISERROR(D40-C40&lt;0))=TRUE,0,-(D40-C40)))</f>
        <v>0</v>
      </c>
    </row>
    <row r="41" spans="1:11" x14ac:dyDescent="0.3">
      <c r="A41" t="s">
        <v>30</v>
      </c>
      <c r="B41" t="s">
        <v>126</v>
      </c>
      <c r="C41" s="50">
        <v>287</v>
      </c>
      <c r="D41" s="3">
        <v>200</v>
      </c>
      <c r="E41" s="4">
        <f t="shared" si="8"/>
        <v>1.4350000000000001</v>
      </c>
      <c r="F41" s="29">
        <v>211</v>
      </c>
      <c r="H41" t="str">
        <f>IF(I41=0,"","Over budget by")</f>
        <v>Over budget by</v>
      </c>
      <c r="I41" s="5">
        <f t="shared" si="9"/>
        <v>87</v>
      </c>
    </row>
    <row r="42" spans="1:11" x14ac:dyDescent="0.3">
      <c r="A42" t="s">
        <v>31</v>
      </c>
      <c r="B42" t="s">
        <v>127</v>
      </c>
      <c r="C42" s="50">
        <v>62.78</v>
      </c>
      <c r="D42" s="3">
        <v>200</v>
      </c>
      <c r="E42" s="4">
        <f t="shared" si="8"/>
        <v>0.31390000000000001</v>
      </c>
      <c r="F42" s="29">
        <v>163.24</v>
      </c>
      <c r="H42" t="str">
        <f t="shared" si="1"/>
        <v/>
      </c>
      <c r="I42" s="5">
        <f t="shared" si="9"/>
        <v>0</v>
      </c>
    </row>
    <row r="43" spans="1:11" x14ac:dyDescent="0.3">
      <c r="A43" t="s">
        <v>32</v>
      </c>
      <c r="B43" t="s">
        <v>128</v>
      </c>
      <c r="C43" s="50">
        <v>0</v>
      </c>
      <c r="D43" s="3">
        <v>10</v>
      </c>
      <c r="E43" s="4">
        <f t="shared" si="8"/>
        <v>0</v>
      </c>
      <c r="F43" s="29">
        <v>6.8</v>
      </c>
      <c r="H43" t="str">
        <f t="shared" si="1"/>
        <v/>
      </c>
      <c r="I43" s="5">
        <f t="shared" si="9"/>
        <v>0</v>
      </c>
    </row>
    <row r="44" spans="1:11" x14ac:dyDescent="0.3">
      <c r="A44" t="s">
        <v>33</v>
      </c>
      <c r="B44" t="s">
        <v>129</v>
      </c>
      <c r="C44" s="50">
        <v>0</v>
      </c>
      <c r="D44" s="3">
        <v>0</v>
      </c>
      <c r="E44" s="4">
        <f t="shared" si="8"/>
        <v>0</v>
      </c>
      <c r="F44" s="29">
        <v>131.57</v>
      </c>
      <c r="H44" t="str">
        <f t="shared" si="1"/>
        <v/>
      </c>
      <c r="I44" s="5">
        <f t="shared" si="9"/>
        <v>0</v>
      </c>
    </row>
    <row r="45" spans="1:11" x14ac:dyDescent="0.3">
      <c r="A45" t="s">
        <v>34</v>
      </c>
      <c r="B45" t="s">
        <v>130</v>
      </c>
      <c r="C45" s="50">
        <v>40.020000000000003</v>
      </c>
      <c r="D45" s="3">
        <v>150</v>
      </c>
      <c r="E45" s="4">
        <f t="shared" si="8"/>
        <v>0.26680000000000004</v>
      </c>
      <c r="F45" s="29">
        <v>79.360000000000014</v>
      </c>
      <c r="H45" t="str">
        <f t="shared" si="1"/>
        <v/>
      </c>
      <c r="I45" s="5">
        <f t="shared" si="9"/>
        <v>0</v>
      </c>
    </row>
    <row r="46" spans="1:11" x14ac:dyDescent="0.3">
      <c r="A46" t="s">
        <v>35</v>
      </c>
      <c r="B46" t="s">
        <v>131</v>
      </c>
      <c r="C46" s="50">
        <v>0</v>
      </c>
      <c r="D46" s="3">
        <v>0</v>
      </c>
      <c r="E46" s="4">
        <f t="shared" si="8"/>
        <v>0</v>
      </c>
      <c r="F46" s="29">
        <v>35</v>
      </c>
      <c r="H46" t="str">
        <f t="shared" si="1"/>
        <v/>
      </c>
      <c r="I46" s="5">
        <f t="shared" si="9"/>
        <v>0</v>
      </c>
    </row>
    <row r="47" spans="1:11" x14ac:dyDescent="0.3">
      <c r="A47" t="s">
        <v>36</v>
      </c>
      <c r="B47" t="s">
        <v>132</v>
      </c>
      <c r="C47" s="50">
        <v>542.28</v>
      </c>
      <c r="D47" s="3">
        <v>1000</v>
      </c>
      <c r="E47" s="4">
        <f t="shared" si="8"/>
        <v>0.54227999999999998</v>
      </c>
      <c r="F47" s="29">
        <v>408.14</v>
      </c>
      <c r="H47" t="str">
        <f t="shared" si="1"/>
        <v/>
      </c>
      <c r="I47" s="5">
        <f t="shared" si="9"/>
        <v>0</v>
      </c>
    </row>
    <row r="48" spans="1:11" x14ac:dyDescent="0.3">
      <c r="A48" t="s">
        <v>37</v>
      </c>
      <c r="B48" t="s">
        <v>133</v>
      </c>
      <c r="C48" s="50">
        <v>245</v>
      </c>
      <c r="D48" s="3">
        <v>500</v>
      </c>
      <c r="E48" s="4">
        <f t="shared" si="8"/>
        <v>0.49</v>
      </c>
      <c r="F48" s="29">
        <v>255</v>
      </c>
      <c r="H48" t="str">
        <f t="shared" si="1"/>
        <v/>
      </c>
      <c r="I48" s="5">
        <f t="shared" si="9"/>
        <v>0</v>
      </c>
    </row>
    <row r="49" spans="1:9" x14ac:dyDescent="0.3">
      <c r="A49" t="s">
        <v>38</v>
      </c>
      <c r="B49" t="s">
        <v>134</v>
      </c>
      <c r="C49" s="50">
        <v>527.70000000000005</v>
      </c>
      <c r="D49" s="3">
        <v>750</v>
      </c>
      <c r="E49" s="4">
        <f t="shared" si="8"/>
        <v>0.70360000000000011</v>
      </c>
      <c r="F49" s="29">
        <v>724</v>
      </c>
      <c r="H49" t="str">
        <f t="shared" si="1"/>
        <v/>
      </c>
      <c r="I49" s="5">
        <f t="shared" si="9"/>
        <v>0</v>
      </c>
    </row>
    <row r="50" spans="1:9" x14ac:dyDescent="0.3">
      <c r="A50" t="s">
        <v>39</v>
      </c>
      <c r="B50" t="s">
        <v>135</v>
      </c>
      <c r="C50" s="50">
        <v>14</v>
      </c>
      <c r="D50" s="3">
        <v>150</v>
      </c>
      <c r="E50" s="4">
        <f t="shared" si="8"/>
        <v>9.3333333333333338E-2</v>
      </c>
      <c r="F50" s="29">
        <v>44</v>
      </c>
      <c r="H50" t="str">
        <f t="shared" si="1"/>
        <v/>
      </c>
      <c r="I50" s="5">
        <f t="shared" si="9"/>
        <v>0</v>
      </c>
    </row>
    <row r="51" spans="1:9" x14ac:dyDescent="0.3">
      <c r="A51" t="s">
        <v>40</v>
      </c>
      <c r="B51" t="s">
        <v>136</v>
      </c>
      <c r="C51" s="50">
        <v>308</v>
      </c>
      <c r="D51" s="3">
        <v>600</v>
      </c>
      <c r="E51" s="4">
        <f t="shared" si="8"/>
        <v>0.51333333333333331</v>
      </c>
      <c r="F51" s="29">
        <v>502.5</v>
      </c>
      <c r="H51" t="str">
        <f t="shared" si="1"/>
        <v/>
      </c>
      <c r="I51" s="5">
        <f t="shared" si="9"/>
        <v>0</v>
      </c>
    </row>
    <row r="52" spans="1:9" x14ac:dyDescent="0.3">
      <c r="A52" t="s">
        <v>41</v>
      </c>
      <c r="B52" t="s">
        <v>137</v>
      </c>
      <c r="C52" s="50">
        <v>445.61</v>
      </c>
      <c r="D52" s="3">
        <v>500</v>
      </c>
      <c r="E52" s="4">
        <f t="shared" si="8"/>
        <v>0.89122000000000001</v>
      </c>
      <c r="F52" s="29">
        <v>333.09</v>
      </c>
      <c r="H52" t="str">
        <f t="shared" si="1"/>
        <v/>
      </c>
      <c r="I52" s="5">
        <f t="shared" si="9"/>
        <v>0</v>
      </c>
    </row>
    <row r="53" spans="1:9" x14ac:dyDescent="0.3">
      <c r="A53" s="1" t="s">
        <v>219</v>
      </c>
      <c r="B53" s="1"/>
      <c r="C53" s="8">
        <f>SUM(C40:C52)</f>
        <v>2730.5099999999998</v>
      </c>
      <c r="D53" s="8">
        <v>5260</v>
      </c>
      <c r="E53" s="7">
        <f t="shared" si="8"/>
        <v>0.51910836501901136</v>
      </c>
      <c r="F53" s="32">
        <v>4088</v>
      </c>
      <c r="H53" t="str">
        <f t="shared" si="1"/>
        <v/>
      </c>
      <c r="I53" s="5">
        <f t="shared" si="9"/>
        <v>0</v>
      </c>
    </row>
    <row r="54" spans="1:9" x14ac:dyDescent="0.3">
      <c r="A54" s="1"/>
      <c r="B54" s="1"/>
      <c r="C54" s="8"/>
      <c r="D54" s="8"/>
      <c r="E54" s="7"/>
      <c r="F54" s="32"/>
      <c r="I54" s="5"/>
    </row>
    <row r="55" spans="1:9" x14ac:dyDescent="0.3">
      <c r="A55" s="1" t="s">
        <v>42</v>
      </c>
      <c r="B55" s="1"/>
      <c r="C55" s="8"/>
      <c r="D55" s="8"/>
      <c r="E55" s="7"/>
      <c r="F55" s="32"/>
      <c r="I55" s="5"/>
    </row>
    <row r="56" spans="1:9" x14ac:dyDescent="0.3">
      <c r="A56" s="1" t="s">
        <v>43</v>
      </c>
      <c r="B56" s="1"/>
      <c r="F56" s="31"/>
      <c r="I56" s="5"/>
    </row>
    <row r="57" spans="1:9" x14ac:dyDescent="0.3">
      <c r="A57" t="s">
        <v>44</v>
      </c>
      <c r="B57" t="s">
        <v>138</v>
      </c>
      <c r="C57" s="50">
        <v>739</v>
      </c>
      <c r="D57" s="3">
        <v>3370</v>
      </c>
      <c r="E57" s="4">
        <f t="shared" ref="E57:E62" si="10">IF(IFERROR(C57/D57,0)=0,0,C57/D57)</f>
        <v>0.21928783382789319</v>
      </c>
      <c r="F57" s="29">
        <v>2956</v>
      </c>
      <c r="H57" t="str">
        <f t="shared" si="1"/>
        <v/>
      </c>
      <c r="I57" s="5">
        <f t="shared" ref="I57:I73" si="11">IF(IF((ISERROR(D57-C57&lt;0))=TRUE,0,-(D57-C57))&lt;0,0,IF((ISERROR(D57-C57&lt;0))=TRUE,0,-(D57-C57)))</f>
        <v>0</v>
      </c>
    </row>
    <row r="58" spans="1:9" x14ac:dyDescent="0.3">
      <c r="A58" t="s">
        <v>45</v>
      </c>
      <c r="B58" t="s">
        <v>139</v>
      </c>
      <c r="C58" s="50">
        <v>0</v>
      </c>
      <c r="D58" s="3">
        <v>400</v>
      </c>
      <c r="E58" s="4">
        <f t="shared" si="10"/>
        <v>0</v>
      </c>
      <c r="F58" s="29">
        <v>400</v>
      </c>
      <c r="H58" t="str">
        <f t="shared" si="1"/>
        <v/>
      </c>
      <c r="I58" s="5">
        <f t="shared" si="11"/>
        <v>0</v>
      </c>
    </row>
    <row r="59" spans="1:9" x14ac:dyDescent="0.3">
      <c r="A59" t="s">
        <v>46</v>
      </c>
      <c r="B59" t="s">
        <v>140</v>
      </c>
      <c r="C59" s="50">
        <v>0</v>
      </c>
      <c r="D59" s="3">
        <v>400</v>
      </c>
      <c r="E59" s="4">
        <f t="shared" si="10"/>
        <v>0</v>
      </c>
      <c r="F59" s="29">
        <v>400</v>
      </c>
      <c r="H59" t="str">
        <f t="shared" si="1"/>
        <v/>
      </c>
      <c r="I59" s="5">
        <f t="shared" si="11"/>
        <v>0</v>
      </c>
    </row>
    <row r="60" spans="1:9" x14ac:dyDescent="0.3">
      <c r="A60" t="s">
        <v>47</v>
      </c>
      <c r="B60" t="s">
        <v>141</v>
      </c>
      <c r="C60" s="50">
        <v>0</v>
      </c>
      <c r="D60" s="3">
        <v>300</v>
      </c>
      <c r="E60" s="4">
        <f t="shared" si="10"/>
        <v>0</v>
      </c>
      <c r="F60" s="29">
        <v>300</v>
      </c>
      <c r="H60" t="str">
        <f t="shared" si="1"/>
        <v/>
      </c>
      <c r="I60" s="5">
        <f t="shared" si="11"/>
        <v>0</v>
      </c>
    </row>
    <row r="61" spans="1:9" x14ac:dyDescent="0.3">
      <c r="A61" t="s">
        <v>48</v>
      </c>
      <c r="B61" t="s">
        <v>142</v>
      </c>
      <c r="C61" s="50">
        <v>6.96</v>
      </c>
      <c r="D61" s="3">
        <v>1500</v>
      </c>
      <c r="E61" s="4">
        <f t="shared" si="10"/>
        <v>4.64E-3</v>
      </c>
      <c r="F61" s="29">
        <v>163.75</v>
      </c>
      <c r="H61" t="str">
        <f t="shared" si="1"/>
        <v/>
      </c>
      <c r="I61" s="5">
        <f t="shared" si="11"/>
        <v>0</v>
      </c>
    </row>
    <row r="62" spans="1:9" x14ac:dyDescent="0.3">
      <c r="A62" s="1" t="s">
        <v>218</v>
      </c>
      <c r="B62" s="1"/>
      <c r="C62" s="6">
        <f>SUM(C57:C61)</f>
        <v>745.96</v>
      </c>
      <c r="D62" s="8">
        <v>5970</v>
      </c>
      <c r="E62" s="7">
        <f t="shared" si="10"/>
        <v>0.12495142378559465</v>
      </c>
      <c r="F62" s="32">
        <v>4219.75</v>
      </c>
      <c r="H62" t="str">
        <f t="shared" si="1"/>
        <v/>
      </c>
      <c r="I62" s="5">
        <f t="shared" si="11"/>
        <v>0</v>
      </c>
    </row>
    <row r="63" spans="1:9" x14ac:dyDescent="0.3">
      <c r="F63" s="31"/>
      <c r="H63" t="str">
        <f t="shared" si="1"/>
        <v/>
      </c>
      <c r="I63" s="5">
        <f t="shared" si="11"/>
        <v>0</v>
      </c>
    </row>
    <row r="64" spans="1:9" x14ac:dyDescent="0.3">
      <c r="A64" s="1" t="s">
        <v>49</v>
      </c>
      <c r="B64" s="1"/>
      <c r="F64" s="31"/>
      <c r="H64" t="str">
        <f t="shared" si="1"/>
        <v/>
      </c>
      <c r="I64" s="5">
        <f t="shared" si="11"/>
        <v>0</v>
      </c>
    </row>
    <row r="65" spans="1:9" x14ac:dyDescent="0.3">
      <c r="A65" t="s">
        <v>50</v>
      </c>
      <c r="B65" t="s">
        <v>143</v>
      </c>
      <c r="C65" s="50">
        <v>2829.75</v>
      </c>
      <c r="D65" s="3">
        <v>3050</v>
      </c>
      <c r="E65" s="4">
        <f t="shared" ref="E65:E73" si="12">IF(IFERROR(C65/D65,0)=0,0,C65/D65)</f>
        <v>0.92778688524590169</v>
      </c>
      <c r="F65" s="33">
        <v>2754</v>
      </c>
      <c r="H65" t="str">
        <f t="shared" si="1"/>
        <v/>
      </c>
      <c r="I65" s="5">
        <f t="shared" si="11"/>
        <v>0</v>
      </c>
    </row>
    <row r="66" spans="1:9" x14ac:dyDescent="0.3">
      <c r="A66" t="s">
        <v>51</v>
      </c>
      <c r="B66" t="s">
        <v>144</v>
      </c>
      <c r="C66" s="50">
        <v>19.86</v>
      </c>
      <c r="D66" s="3">
        <v>50</v>
      </c>
      <c r="E66" s="4">
        <f t="shared" si="12"/>
        <v>0.3972</v>
      </c>
      <c r="F66" s="33">
        <v>39.379999999999995</v>
      </c>
      <c r="H66" t="str">
        <f t="shared" si="1"/>
        <v/>
      </c>
      <c r="I66" s="5">
        <f t="shared" si="11"/>
        <v>0</v>
      </c>
    </row>
    <row r="67" spans="1:9" x14ac:dyDescent="0.3">
      <c r="A67" t="s">
        <v>52</v>
      </c>
      <c r="B67" t="s">
        <v>145</v>
      </c>
      <c r="C67" s="50">
        <v>0</v>
      </c>
      <c r="D67" s="3">
        <v>300</v>
      </c>
      <c r="E67" s="4">
        <f t="shared" si="12"/>
        <v>0</v>
      </c>
      <c r="F67" s="33">
        <v>137.63</v>
      </c>
      <c r="H67" t="str">
        <f t="shared" si="1"/>
        <v/>
      </c>
      <c r="I67" s="5">
        <f t="shared" si="11"/>
        <v>0</v>
      </c>
    </row>
    <row r="68" spans="1:9" x14ac:dyDescent="0.3">
      <c r="A68" t="s">
        <v>53</v>
      </c>
      <c r="B68" t="s">
        <v>146</v>
      </c>
      <c r="C68" s="50">
        <v>429.53999999999996</v>
      </c>
      <c r="D68" s="3">
        <v>1500</v>
      </c>
      <c r="E68" s="4">
        <f t="shared" si="12"/>
        <v>0.28636</v>
      </c>
      <c r="F68" s="33">
        <v>1074.5999999999999</v>
      </c>
      <c r="H68" t="str">
        <f t="shared" si="1"/>
        <v/>
      </c>
      <c r="I68" s="5">
        <f t="shared" si="11"/>
        <v>0</v>
      </c>
    </row>
    <row r="69" spans="1:9" x14ac:dyDescent="0.3">
      <c r="A69" t="s">
        <v>54</v>
      </c>
      <c r="B69" t="s">
        <v>147</v>
      </c>
      <c r="C69" s="50">
        <v>0</v>
      </c>
      <c r="D69" s="3">
        <v>150</v>
      </c>
      <c r="E69" s="4">
        <f t="shared" si="12"/>
        <v>0</v>
      </c>
      <c r="F69" s="33">
        <v>135</v>
      </c>
      <c r="H69" t="str">
        <f t="shared" si="1"/>
        <v/>
      </c>
      <c r="I69" s="5">
        <f t="shared" si="11"/>
        <v>0</v>
      </c>
    </row>
    <row r="70" spans="1:9" x14ac:dyDescent="0.3">
      <c r="A70" t="s">
        <v>55</v>
      </c>
      <c r="B70" t="s">
        <v>148</v>
      </c>
      <c r="C70" s="50">
        <v>0</v>
      </c>
      <c r="D70" s="3">
        <v>350</v>
      </c>
      <c r="E70" s="4">
        <f t="shared" si="12"/>
        <v>0</v>
      </c>
      <c r="F70" s="33">
        <v>180</v>
      </c>
      <c r="H70" t="str">
        <f t="shared" si="1"/>
        <v/>
      </c>
      <c r="I70" s="5">
        <f t="shared" si="11"/>
        <v>0</v>
      </c>
    </row>
    <row r="71" spans="1:9" hidden="1" x14ac:dyDescent="0.3">
      <c r="A71" t="s">
        <v>56</v>
      </c>
      <c r="B71" t="s">
        <v>149</v>
      </c>
      <c r="C71" s="50">
        <v>0</v>
      </c>
      <c r="D71" s="3"/>
      <c r="E71" s="4">
        <f t="shared" si="12"/>
        <v>0</v>
      </c>
      <c r="F71" s="33"/>
      <c r="H71" t="str">
        <f t="shared" si="1"/>
        <v/>
      </c>
      <c r="I71" s="5">
        <f t="shared" si="11"/>
        <v>0</v>
      </c>
    </row>
    <row r="72" spans="1:9" x14ac:dyDescent="0.3">
      <c r="A72" t="s">
        <v>57</v>
      </c>
      <c r="B72" t="s">
        <v>150</v>
      </c>
      <c r="C72" s="50">
        <v>0</v>
      </c>
      <c r="D72" s="3">
        <v>500</v>
      </c>
      <c r="E72" s="4">
        <f t="shared" si="12"/>
        <v>0</v>
      </c>
      <c r="F72" s="33">
        <v>180</v>
      </c>
      <c r="H72" t="str">
        <f t="shared" si="1"/>
        <v/>
      </c>
      <c r="I72" s="5">
        <f t="shared" si="11"/>
        <v>0</v>
      </c>
    </row>
    <row r="73" spans="1:9" x14ac:dyDescent="0.3">
      <c r="A73" s="1" t="s">
        <v>217</v>
      </c>
      <c r="B73" s="1"/>
      <c r="C73" s="8">
        <f>SUM(C65:C72)</f>
        <v>3279.15</v>
      </c>
      <c r="D73" s="8">
        <v>5900</v>
      </c>
      <c r="E73" s="7">
        <f t="shared" si="12"/>
        <v>0.55578813559322038</v>
      </c>
      <c r="F73" s="32">
        <v>4500.6100000000006</v>
      </c>
      <c r="H73" t="str">
        <f t="shared" si="1"/>
        <v/>
      </c>
      <c r="I73" s="5">
        <f t="shared" si="11"/>
        <v>0</v>
      </c>
    </row>
    <row r="74" spans="1:9" x14ac:dyDescent="0.3">
      <c r="A74" s="1"/>
      <c r="B74" s="1"/>
      <c r="C74" s="8"/>
      <c r="D74" s="8"/>
      <c r="E74" s="7"/>
      <c r="F74" s="29"/>
      <c r="I74" s="5"/>
    </row>
    <row r="75" spans="1:9" x14ac:dyDescent="0.3">
      <c r="A75" s="1" t="s">
        <v>58</v>
      </c>
      <c r="B75" s="1"/>
      <c r="C75" s="8"/>
      <c r="D75" s="8"/>
      <c r="E75" s="7"/>
      <c r="F75" s="29"/>
      <c r="I75" s="5"/>
    </row>
    <row r="76" spans="1:9" x14ac:dyDescent="0.3">
      <c r="A76" t="s">
        <v>59</v>
      </c>
      <c r="B76" t="s">
        <v>151</v>
      </c>
      <c r="C76" s="50">
        <v>157</v>
      </c>
      <c r="D76" s="3">
        <v>235</v>
      </c>
      <c r="E76" s="4">
        <f t="shared" ref="E76:E87" si="13">IF(IFERROR(C76/D76,0)=0,0,C76/D76)</f>
        <v>0.66808510638297869</v>
      </c>
      <c r="F76" s="33">
        <v>192</v>
      </c>
      <c r="H76" t="str">
        <f t="shared" si="1"/>
        <v/>
      </c>
      <c r="I76" s="5">
        <f t="shared" ref="I76:I87" si="14">IF(IF((ISERROR(D76-C76&lt;0))=TRUE,0,-(D76-C76))&lt;0,0,IF((ISERROR(D76-C76&lt;0))=TRUE,0,-(D76-C76)))</f>
        <v>0</v>
      </c>
    </row>
    <row r="77" spans="1:9" x14ac:dyDescent="0.3">
      <c r="A77" t="s">
        <v>60</v>
      </c>
      <c r="B77" t="s">
        <v>152</v>
      </c>
      <c r="C77" s="50">
        <v>438.6</v>
      </c>
      <c r="D77" s="3">
        <v>438.61</v>
      </c>
      <c r="E77" s="4">
        <f t="shared" si="13"/>
        <v>0.99997720070221841</v>
      </c>
      <c r="F77" s="33">
        <v>412.38</v>
      </c>
      <c r="H77" t="str">
        <f t="shared" si="1"/>
        <v/>
      </c>
      <c r="I77" s="5">
        <f t="shared" si="14"/>
        <v>0</v>
      </c>
    </row>
    <row r="78" spans="1:9" x14ac:dyDescent="0.3">
      <c r="A78" t="s">
        <v>61</v>
      </c>
      <c r="B78" t="s">
        <v>153</v>
      </c>
      <c r="C78" s="50">
        <v>0</v>
      </c>
      <c r="D78" s="3"/>
      <c r="E78" s="4">
        <f t="shared" si="13"/>
        <v>0</v>
      </c>
      <c r="F78" s="33">
        <v>0</v>
      </c>
      <c r="H78" t="str">
        <f t="shared" si="1"/>
        <v/>
      </c>
      <c r="I78" s="5">
        <f t="shared" si="14"/>
        <v>0</v>
      </c>
    </row>
    <row r="79" spans="1:9" x14ac:dyDescent="0.3">
      <c r="A79" t="s">
        <v>62</v>
      </c>
      <c r="B79" t="s">
        <v>154</v>
      </c>
      <c r="C79" s="50">
        <v>4500</v>
      </c>
      <c r="D79" s="3">
        <v>5000</v>
      </c>
      <c r="E79" s="4">
        <f t="shared" si="13"/>
        <v>0.9</v>
      </c>
      <c r="F79" s="33">
        <v>5000</v>
      </c>
      <c r="H79" t="str">
        <f t="shared" si="1"/>
        <v/>
      </c>
      <c r="I79" s="5">
        <f t="shared" si="14"/>
        <v>0</v>
      </c>
    </row>
    <row r="80" spans="1:9" x14ac:dyDescent="0.3">
      <c r="A80" t="s">
        <v>63</v>
      </c>
      <c r="B80" t="s">
        <v>155</v>
      </c>
      <c r="C80" s="50">
        <v>146.82</v>
      </c>
      <c r="D80" s="3"/>
      <c r="E80" s="4">
        <f t="shared" si="13"/>
        <v>0</v>
      </c>
      <c r="F80" s="33">
        <v>0</v>
      </c>
      <c r="H80" t="str">
        <f t="shared" si="1"/>
        <v>Over budget by</v>
      </c>
      <c r="I80" s="5">
        <f t="shared" si="14"/>
        <v>146.82</v>
      </c>
    </row>
    <row r="81" spans="1:9" x14ac:dyDescent="0.3">
      <c r="A81" t="s">
        <v>64</v>
      </c>
      <c r="B81" t="s">
        <v>156</v>
      </c>
      <c r="C81" s="50">
        <v>0</v>
      </c>
      <c r="D81" s="3"/>
      <c r="E81" s="4">
        <f t="shared" si="13"/>
        <v>0</v>
      </c>
      <c r="F81" s="33">
        <v>0</v>
      </c>
      <c r="H81" t="str">
        <f t="shared" si="1"/>
        <v/>
      </c>
      <c r="I81" s="5">
        <f t="shared" si="14"/>
        <v>0</v>
      </c>
    </row>
    <row r="82" spans="1:9" x14ac:dyDescent="0.3">
      <c r="A82" t="s">
        <v>65</v>
      </c>
      <c r="B82" t="s">
        <v>156</v>
      </c>
      <c r="C82" s="50">
        <v>0</v>
      </c>
      <c r="D82" s="3">
        <v>150</v>
      </c>
      <c r="E82" s="4">
        <f t="shared" si="13"/>
        <v>0</v>
      </c>
      <c r="F82" s="33">
        <v>87.5</v>
      </c>
      <c r="H82" t="str">
        <f t="shared" ref="H82:H107" si="15">IF(I82=0,"","Over budget by")</f>
        <v/>
      </c>
      <c r="I82" s="5">
        <f t="shared" si="14"/>
        <v>0</v>
      </c>
    </row>
    <row r="83" spans="1:9" x14ac:dyDescent="0.3">
      <c r="A83" t="s">
        <v>66</v>
      </c>
      <c r="B83" t="s">
        <v>157</v>
      </c>
      <c r="C83" s="50">
        <v>25</v>
      </c>
      <c r="D83" s="3">
        <v>500</v>
      </c>
      <c r="E83" s="4">
        <f t="shared" si="13"/>
        <v>0.05</v>
      </c>
      <c r="F83" s="33">
        <v>61</v>
      </c>
      <c r="H83" t="str">
        <f t="shared" si="15"/>
        <v/>
      </c>
      <c r="I83" s="5">
        <f t="shared" si="14"/>
        <v>0</v>
      </c>
    </row>
    <row r="84" spans="1:9" x14ac:dyDescent="0.3">
      <c r="A84" t="s">
        <v>67</v>
      </c>
      <c r="B84" t="s">
        <v>158</v>
      </c>
      <c r="C84" s="50">
        <v>0</v>
      </c>
      <c r="D84" s="3">
        <v>200</v>
      </c>
      <c r="E84" s="4">
        <f t="shared" si="13"/>
        <v>0</v>
      </c>
      <c r="F84" s="33">
        <v>0</v>
      </c>
      <c r="H84" t="str">
        <f t="shared" si="15"/>
        <v/>
      </c>
      <c r="I84" s="5">
        <f t="shared" si="14"/>
        <v>0</v>
      </c>
    </row>
    <row r="85" spans="1:9" x14ac:dyDescent="0.3">
      <c r="A85" t="s">
        <v>68</v>
      </c>
      <c r="B85" t="s">
        <v>159</v>
      </c>
      <c r="C85" s="50">
        <v>160</v>
      </c>
      <c r="D85" s="3">
        <v>450</v>
      </c>
      <c r="E85" s="4">
        <f t="shared" si="13"/>
        <v>0.35555555555555557</v>
      </c>
      <c r="F85" s="33">
        <v>1231.5</v>
      </c>
      <c r="H85" t="str">
        <f t="shared" si="15"/>
        <v/>
      </c>
      <c r="I85" s="5">
        <f t="shared" si="14"/>
        <v>0</v>
      </c>
    </row>
    <row r="86" spans="1:9" x14ac:dyDescent="0.3">
      <c r="A86" t="s">
        <v>69</v>
      </c>
      <c r="B86" t="s">
        <v>160</v>
      </c>
      <c r="C86" s="2">
        <v>0</v>
      </c>
      <c r="D86" s="3"/>
      <c r="E86" s="4">
        <f t="shared" si="13"/>
        <v>0</v>
      </c>
      <c r="F86" s="33"/>
      <c r="H86" t="str">
        <f t="shared" si="15"/>
        <v/>
      </c>
      <c r="I86" s="5">
        <f t="shared" si="14"/>
        <v>0</v>
      </c>
    </row>
    <row r="87" spans="1:9" x14ac:dyDescent="0.3">
      <c r="A87" s="1" t="s">
        <v>216</v>
      </c>
      <c r="B87" s="1"/>
      <c r="C87" s="8">
        <f>SUM(C76:C86)</f>
        <v>5427.42</v>
      </c>
      <c r="D87" s="8">
        <v>6973.61</v>
      </c>
      <c r="E87" s="7">
        <f t="shared" si="13"/>
        <v>0.77827982924195649</v>
      </c>
      <c r="F87" s="32">
        <v>6984.38</v>
      </c>
      <c r="H87" t="str">
        <f t="shared" si="15"/>
        <v/>
      </c>
      <c r="I87" s="5">
        <f t="shared" si="14"/>
        <v>0</v>
      </c>
    </row>
    <row r="88" spans="1:9" x14ac:dyDescent="0.3">
      <c r="A88" s="1"/>
      <c r="B88" s="1"/>
      <c r="C88" s="8"/>
      <c r="D88" s="8"/>
      <c r="E88" s="7"/>
      <c r="F88" s="29"/>
      <c r="I88" s="5"/>
    </row>
    <row r="89" spans="1:9" x14ac:dyDescent="0.3">
      <c r="A89" s="1" t="s">
        <v>70</v>
      </c>
      <c r="B89" s="1"/>
      <c r="C89" s="8"/>
      <c r="D89" s="8"/>
      <c r="E89" s="7"/>
      <c r="F89" s="29"/>
      <c r="I89" s="5"/>
    </row>
    <row r="90" spans="1:9" x14ac:dyDescent="0.3">
      <c r="A90" t="s">
        <v>71</v>
      </c>
      <c r="B90" t="s">
        <v>161</v>
      </c>
      <c r="C90" s="50">
        <v>171.51</v>
      </c>
      <c r="D90" s="3">
        <v>3000</v>
      </c>
      <c r="E90" s="4">
        <f t="shared" ref="E90:E92" si="16">IF(IFERROR(C90/D90,0)=0,0,C90/D90)</f>
        <v>5.7169999999999999E-2</v>
      </c>
      <c r="F90" s="33">
        <v>0</v>
      </c>
      <c r="H90" t="str">
        <f t="shared" si="15"/>
        <v/>
      </c>
      <c r="I90" s="5">
        <f t="shared" ref="I90:I92" si="17">IF(IF((ISERROR(D90-C90&lt;0))=TRUE,0,-(D90-C90))&lt;0,0,IF((ISERROR(D90-C90&lt;0))=TRUE,0,-(D90-C90)))</f>
        <v>0</v>
      </c>
    </row>
    <row r="91" spans="1:9" x14ac:dyDescent="0.3">
      <c r="A91" t="s">
        <v>72</v>
      </c>
      <c r="B91" t="s">
        <v>162</v>
      </c>
      <c r="C91" s="50">
        <v>627.6099999999999</v>
      </c>
      <c r="D91" s="3">
        <v>5000</v>
      </c>
      <c r="E91" s="4">
        <f t="shared" si="16"/>
        <v>0.12552199999999997</v>
      </c>
      <c r="F91" s="33">
        <v>0</v>
      </c>
      <c r="H91" t="str">
        <f t="shared" si="15"/>
        <v/>
      </c>
      <c r="I91" s="5">
        <f t="shared" si="17"/>
        <v>0</v>
      </c>
    </row>
    <row r="92" spans="1:9" x14ac:dyDescent="0.3">
      <c r="A92" s="1" t="s">
        <v>215</v>
      </c>
      <c r="B92" s="1"/>
      <c r="C92" s="8">
        <f>SUM(C90:C91)</f>
        <v>799.11999999999989</v>
      </c>
      <c r="D92" s="8">
        <v>8000</v>
      </c>
      <c r="E92" s="7">
        <f t="shared" si="16"/>
        <v>9.9889999999999993E-2</v>
      </c>
      <c r="F92" s="32">
        <v>0</v>
      </c>
      <c r="H92" t="str">
        <f t="shared" si="15"/>
        <v/>
      </c>
      <c r="I92" s="5">
        <f t="shared" si="17"/>
        <v>0</v>
      </c>
    </row>
    <row r="93" spans="1:9" x14ac:dyDescent="0.3">
      <c r="A93" s="1"/>
      <c r="B93" s="1"/>
      <c r="C93" s="5"/>
      <c r="D93" s="2"/>
      <c r="E93" s="7"/>
      <c r="F93" s="32"/>
      <c r="I93" s="5"/>
    </row>
    <row r="94" spans="1:9" x14ac:dyDescent="0.3">
      <c r="A94" s="1" t="s">
        <v>73</v>
      </c>
      <c r="B94" s="1"/>
      <c r="C94" s="5"/>
      <c r="D94" s="2"/>
      <c r="E94" s="7"/>
      <c r="F94" s="32"/>
      <c r="I94" s="5"/>
    </row>
    <row r="95" spans="1:9" x14ac:dyDescent="0.3">
      <c r="A95" t="s">
        <v>74</v>
      </c>
      <c r="B95" t="s">
        <v>163</v>
      </c>
      <c r="C95" s="50">
        <v>0</v>
      </c>
      <c r="D95" s="3">
        <v>1500</v>
      </c>
      <c r="E95" s="4">
        <f t="shared" ref="E95:E101" si="18">IF(IFERROR(C95/D95,0)=0,0,C95/D95)</f>
        <v>0</v>
      </c>
      <c r="F95" s="33">
        <v>0</v>
      </c>
      <c r="H95" t="str">
        <f t="shared" si="15"/>
        <v/>
      </c>
      <c r="I95" s="5">
        <f t="shared" ref="I95:I101" si="19">IF(IF((ISERROR(D95-C95&lt;0))=TRUE,0,-(D95-C95))&lt;0,0,IF((ISERROR(D95-C95&lt;0))=TRUE,0,-(D95-C95)))</f>
        <v>0</v>
      </c>
    </row>
    <row r="96" spans="1:9" x14ac:dyDescent="0.3">
      <c r="A96" t="s">
        <v>75</v>
      </c>
      <c r="B96" t="s">
        <v>164</v>
      </c>
      <c r="C96" s="50">
        <v>0</v>
      </c>
      <c r="D96" s="3">
        <v>3000</v>
      </c>
      <c r="E96" s="4">
        <f t="shared" si="18"/>
        <v>0</v>
      </c>
      <c r="F96" s="33">
        <v>0</v>
      </c>
      <c r="H96" t="str">
        <f t="shared" si="15"/>
        <v/>
      </c>
      <c r="I96" s="5">
        <f t="shared" si="19"/>
        <v>0</v>
      </c>
    </row>
    <row r="97" spans="1:9" x14ac:dyDescent="0.3">
      <c r="A97" t="s">
        <v>76</v>
      </c>
      <c r="B97" t="s">
        <v>165</v>
      </c>
      <c r="C97" s="50">
        <v>3028</v>
      </c>
      <c r="D97" s="3">
        <v>3000</v>
      </c>
      <c r="E97" s="4">
        <f t="shared" si="18"/>
        <v>1.0093333333333334</v>
      </c>
      <c r="F97" s="33">
        <v>0</v>
      </c>
      <c r="H97" t="str">
        <f t="shared" si="15"/>
        <v>Over budget by</v>
      </c>
      <c r="I97" s="5">
        <f t="shared" si="19"/>
        <v>28</v>
      </c>
    </row>
    <row r="98" spans="1:9" x14ac:dyDescent="0.3">
      <c r="A98" t="s">
        <v>77</v>
      </c>
      <c r="B98" t="s">
        <v>166</v>
      </c>
      <c r="C98" s="50">
        <v>0</v>
      </c>
      <c r="D98" s="3">
        <v>350</v>
      </c>
      <c r="E98" s="4">
        <f t="shared" si="18"/>
        <v>0</v>
      </c>
      <c r="F98" s="33">
        <v>0</v>
      </c>
      <c r="H98" t="str">
        <f t="shared" si="15"/>
        <v/>
      </c>
      <c r="I98" s="5">
        <f t="shared" si="19"/>
        <v>0</v>
      </c>
    </row>
    <row r="99" spans="1:9" x14ac:dyDescent="0.3">
      <c r="A99" t="s">
        <v>372</v>
      </c>
      <c r="B99" t="s">
        <v>373</v>
      </c>
      <c r="C99" s="50">
        <v>1355</v>
      </c>
      <c r="D99" s="3"/>
      <c r="E99" s="4">
        <f t="shared" ref="E99" si="20">IF(IFERROR(C99/D99,0)=0,0,C99/D99)</f>
        <v>0</v>
      </c>
      <c r="F99" s="33"/>
      <c r="H99" t="str">
        <f t="shared" ref="H99" si="21">IF(I99=0,"","Over budget by")</f>
        <v>Over budget by</v>
      </c>
      <c r="I99" s="5">
        <f t="shared" ref="I99" si="22">IF(IF((ISERROR(D99-C99&lt;0))=TRUE,0,-(D99-C99))&lt;0,0,IF((ISERROR(D99-C99&lt;0))=TRUE,0,-(D99-C99)))</f>
        <v>1355</v>
      </c>
    </row>
    <row r="100" spans="1:9" x14ac:dyDescent="0.3">
      <c r="A100" t="s">
        <v>78</v>
      </c>
      <c r="B100" t="s">
        <v>167</v>
      </c>
      <c r="C100" s="50">
        <f>7100.6-1355</f>
        <v>5745.6</v>
      </c>
      <c r="D100" s="3">
        <v>30300</v>
      </c>
      <c r="E100" s="4">
        <f t="shared" si="18"/>
        <v>0.18962376237623763</v>
      </c>
      <c r="F100" s="33">
        <v>0</v>
      </c>
      <c r="H100" t="str">
        <f t="shared" si="15"/>
        <v/>
      </c>
      <c r="I100" s="5">
        <f t="shared" si="19"/>
        <v>0</v>
      </c>
    </row>
    <row r="101" spans="1:9" x14ac:dyDescent="0.3">
      <c r="A101" s="1" t="s">
        <v>214</v>
      </c>
      <c r="B101" s="1"/>
      <c r="C101" s="6">
        <f>SUM(C95:C100)</f>
        <v>10128.6</v>
      </c>
      <c r="D101" s="8">
        <v>38150</v>
      </c>
      <c r="E101" s="7">
        <f t="shared" si="18"/>
        <v>0.2654941022280472</v>
      </c>
      <c r="F101" s="32">
        <v>0</v>
      </c>
      <c r="H101" t="str">
        <f t="shared" si="15"/>
        <v/>
      </c>
      <c r="I101" s="5">
        <f t="shared" si="19"/>
        <v>0</v>
      </c>
    </row>
    <row r="102" spans="1:9" x14ac:dyDescent="0.3">
      <c r="A102" s="1"/>
      <c r="B102" s="1"/>
      <c r="C102" s="5"/>
      <c r="D102" s="2"/>
      <c r="E102" s="7"/>
      <c r="F102" s="32"/>
      <c r="I102" s="5"/>
    </row>
    <row r="103" spans="1:9" x14ac:dyDescent="0.3">
      <c r="A103" s="1"/>
      <c r="B103" s="1"/>
      <c r="C103" s="5"/>
      <c r="D103" s="2"/>
      <c r="E103" s="7"/>
      <c r="F103" s="32"/>
      <c r="I103" s="5"/>
    </row>
    <row r="104" spans="1:9" x14ac:dyDescent="0.3">
      <c r="A104" s="1" t="s">
        <v>79</v>
      </c>
      <c r="C104" s="8">
        <f>C25</f>
        <v>2117.02</v>
      </c>
      <c r="D104" s="6">
        <v>2000</v>
      </c>
      <c r="E104" s="7">
        <f t="shared" ref="E104:E108" si="23">IF(IFERROR(C104/D104,0)=0,0,C104/D104)</f>
        <v>1.0585100000000001</v>
      </c>
      <c r="F104" s="30">
        <v>4463.0600000000004</v>
      </c>
      <c r="H104" t="str">
        <f t="shared" si="15"/>
        <v>Over budget by</v>
      </c>
      <c r="I104" s="5">
        <f t="shared" ref="I104:I107" si="24">IF(IF((ISERROR(D104-C104&lt;0))=TRUE,0,-(D104-C104))&lt;0,0,IF((ISERROR(D104-C104&lt;0))=TRUE,0,-(D104-C104)))</f>
        <v>117.01999999999998</v>
      </c>
    </row>
    <row r="105" spans="1:9" x14ac:dyDescent="0.3">
      <c r="A105" s="1" t="s">
        <v>173</v>
      </c>
      <c r="C105" s="6">
        <f>C27</f>
        <v>47992.803999999996</v>
      </c>
      <c r="D105" s="6">
        <f>D27</f>
        <v>52313.69</v>
      </c>
      <c r="E105" s="7">
        <f t="shared" si="23"/>
        <v>0.91740429703964665</v>
      </c>
      <c r="F105" s="30">
        <f>F27</f>
        <v>53009.11</v>
      </c>
      <c r="H105" t="str">
        <f t="shared" si="15"/>
        <v/>
      </c>
      <c r="I105" s="5">
        <f t="shared" ref="I105" si="25">IF(IF((ISERROR(D105-C105&lt;0))=TRUE,0,-(D105-C105))&lt;0,0,IF((ISERROR(D105-C105&lt;0))=TRUE,0,-(D105-C105)))</f>
        <v>0</v>
      </c>
    </row>
    <row r="106" spans="1:9" x14ac:dyDescent="0.3">
      <c r="A106" s="1" t="s">
        <v>213</v>
      </c>
      <c r="B106" s="1"/>
      <c r="C106" s="8">
        <f>C101+C92+C87+C73+C62+C53+C37</f>
        <v>39203.89</v>
      </c>
      <c r="D106" s="6">
        <v>97333.790000000008</v>
      </c>
      <c r="E106" s="7">
        <f t="shared" si="23"/>
        <v>0.40277780203565478</v>
      </c>
      <c r="F106" s="30">
        <v>44006.62</v>
      </c>
      <c r="H106" t="str">
        <f t="shared" si="15"/>
        <v/>
      </c>
      <c r="I106" s="5">
        <f t="shared" si="24"/>
        <v>0</v>
      </c>
    </row>
    <row r="107" spans="1:9" x14ac:dyDescent="0.3">
      <c r="A107" s="1" t="s">
        <v>80</v>
      </c>
      <c r="B107" s="1"/>
      <c r="C107" s="8">
        <f>C106-C37</f>
        <v>23110.760000000002</v>
      </c>
      <c r="D107" s="6">
        <v>72253.610000000015</v>
      </c>
      <c r="E107" s="7">
        <f t="shared" si="23"/>
        <v>0.31985612898788029</v>
      </c>
      <c r="F107" s="30">
        <v>24255.8</v>
      </c>
      <c r="H107" t="str">
        <f t="shared" si="15"/>
        <v/>
      </c>
      <c r="I107" s="5">
        <f t="shared" si="24"/>
        <v>0</v>
      </c>
    </row>
    <row r="108" spans="1:9" x14ac:dyDescent="0.3">
      <c r="A108" s="1" t="s">
        <v>81</v>
      </c>
      <c r="B108" s="1"/>
      <c r="C108" s="8">
        <f>C27-C106</f>
        <v>8788.913999999997</v>
      </c>
      <c r="D108" s="6">
        <v>-45020.100000000006</v>
      </c>
      <c r="E108" s="7">
        <f t="shared" si="23"/>
        <v>-0.19522200083962488</v>
      </c>
      <c r="F108" s="30">
        <v>9002.489999999998</v>
      </c>
      <c r="I108" s="5"/>
    </row>
    <row r="109" spans="1:9" x14ac:dyDescent="0.3">
      <c r="A109" s="1" t="s">
        <v>171</v>
      </c>
      <c r="B109" s="1"/>
      <c r="C109" s="6">
        <f>C37+C53+C62+C73+C87+C92</f>
        <v>29075.289999999997</v>
      </c>
      <c r="D109" s="6"/>
      <c r="E109" s="7"/>
      <c r="F109" s="6"/>
      <c r="I109" s="5"/>
    </row>
    <row r="110" spans="1:9" x14ac:dyDescent="0.3">
      <c r="A110" s="1" t="s">
        <v>170</v>
      </c>
      <c r="B110" s="1"/>
      <c r="C110" s="6">
        <f>C27-C109</f>
        <v>18917.513999999999</v>
      </c>
      <c r="D110" s="6"/>
      <c r="E110" s="7"/>
      <c r="F110" s="6"/>
    </row>
    <row r="111" spans="1:9" x14ac:dyDescent="0.3">
      <c r="B111" s="1"/>
      <c r="F111" s="5"/>
    </row>
    <row r="113" spans="1:3" x14ac:dyDescent="0.3">
      <c r="A113" s="1" t="s">
        <v>174</v>
      </c>
    </row>
    <row r="114" spans="1:3" x14ac:dyDescent="0.3">
      <c r="A114" t="s">
        <v>102</v>
      </c>
      <c r="C114" s="5">
        <f>C19</f>
        <v>12795</v>
      </c>
    </row>
    <row r="115" spans="1:3" x14ac:dyDescent="0.3">
      <c r="A115" t="s">
        <v>176</v>
      </c>
      <c r="C115" s="5">
        <f>C62</f>
        <v>745.96</v>
      </c>
    </row>
    <row r="116" spans="1:3" x14ac:dyDescent="0.3">
      <c r="A116" t="s">
        <v>175</v>
      </c>
      <c r="C116" s="5">
        <f>C37/12</f>
        <v>1341.0941666666665</v>
      </c>
    </row>
    <row r="117" spans="1:3" x14ac:dyDescent="0.3">
      <c r="A117" t="s">
        <v>414</v>
      </c>
      <c r="C117" s="5">
        <f>C90+C91+C97+C100</f>
        <v>9572.7200000000012</v>
      </c>
    </row>
    <row r="118" spans="1:3" x14ac:dyDescent="0.3">
      <c r="A118" s="1" t="s">
        <v>17</v>
      </c>
      <c r="B118" s="1"/>
      <c r="C118" s="6">
        <f>C114-C115-C116-C117</f>
        <v>1135.2258333333339</v>
      </c>
    </row>
  </sheetData>
  <mergeCells count="2">
    <mergeCell ref="C15:E15"/>
    <mergeCell ref="C4:E4"/>
  </mergeCells>
  <conditionalFormatting sqref="I17:I27">
    <cfRule type="colorScale" priority="11">
      <colorScale>
        <cfvo type="num" val="0"/>
        <cfvo type="num" val="500"/>
        <color theme="0"/>
        <color rgb="FFFFC000"/>
      </colorScale>
    </cfRule>
  </conditionalFormatting>
  <conditionalFormatting sqref="I31">
    <cfRule type="colorScale" priority="10">
      <colorScale>
        <cfvo type="num" val="0"/>
        <cfvo type="num" val="500"/>
        <color theme="0"/>
        <color rgb="FFFFC000"/>
      </colorScale>
    </cfRule>
  </conditionalFormatting>
  <conditionalFormatting sqref="I34">
    <cfRule type="colorScale" priority="9">
      <colorScale>
        <cfvo type="num" val="0"/>
        <cfvo type="num" val="500"/>
        <color theme="0"/>
        <color rgb="FFFFC000"/>
      </colorScale>
    </cfRule>
  </conditionalFormatting>
  <conditionalFormatting sqref="I35">
    <cfRule type="colorScale" priority="8">
      <colorScale>
        <cfvo type="num" val="0"/>
        <cfvo type="num" val="500"/>
        <color theme="0"/>
        <color rgb="FFFFC000"/>
      </colorScale>
    </cfRule>
  </conditionalFormatting>
  <conditionalFormatting sqref="I37">
    <cfRule type="colorScale" priority="7">
      <colorScale>
        <cfvo type="num" val="0"/>
        <cfvo type="num" val="500"/>
        <color theme="0"/>
        <color rgb="FFFFC000"/>
      </colorScale>
    </cfRule>
  </conditionalFormatting>
  <conditionalFormatting sqref="I40:I53">
    <cfRule type="colorScale" priority="6">
      <colorScale>
        <cfvo type="num" val="0"/>
        <cfvo type="num" val="500"/>
        <color theme="0"/>
        <color rgb="FFFFC000"/>
      </colorScale>
    </cfRule>
  </conditionalFormatting>
  <conditionalFormatting sqref="I57:I73">
    <cfRule type="colorScale" priority="5">
      <colorScale>
        <cfvo type="num" val="0"/>
        <cfvo type="num" val="500"/>
        <color theme="0"/>
        <color rgb="FFFFC000"/>
      </colorScale>
    </cfRule>
  </conditionalFormatting>
  <conditionalFormatting sqref="I76:I87">
    <cfRule type="colorScale" priority="4">
      <colorScale>
        <cfvo type="num" val="0"/>
        <cfvo type="num" val="500"/>
        <color theme="0"/>
        <color rgb="FFFFC000"/>
      </colorScale>
    </cfRule>
  </conditionalFormatting>
  <conditionalFormatting sqref="I90:I92">
    <cfRule type="colorScale" priority="3">
      <colorScale>
        <cfvo type="num" val="0"/>
        <cfvo type="num" val="500"/>
        <color theme="0"/>
        <color rgb="FFFFC000"/>
      </colorScale>
    </cfRule>
  </conditionalFormatting>
  <conditionalFormatting sqref="I95:I101">
    <cfRule type="colorScale" priority="2">
      <colorScale>
        <cfvo type="num" val="0"/>
        <cfvo type="num" val="500"/>
        <color theme="0"/>
        <color rgb="FFFFC000"/>
      </colorScale>
    </cfRule>
  </conditionalFormatting>
  <conditionalFormatting sqref="I104:I109">
    <cfRule type="colorScale" priority="1">
      <colorScale>
        <cfvo type="num" val="0"/>
        <cfvo type="num" val="500"/>
        <color theme="0"/>
        <color rgb="FFFFC000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12D6A-3DA0-4274-B0C4-BA891E019830}">
  <dimension ref="A1:J39"/>
  <sheetViews>
    <sheetView workbookViewId="0">
      <selection activeCell="F36" sqref="F36"/>
    </sheetView>
  </sheetViews>
  <sheetFormatPr defaultRowHeight="14.4" x14ac:dyDescent="0.3"/>
  <cols>
    <col min="1" max="1" width="13" bestFit="1" customWidth="1"/>
    <col min="2" max="2" width="29.109375" bestFit="1" customWidth="1"/>
    <col min="3" max="3" width="10.33203125" bestFit="1" customWidth="1"/>
    <col min="4" max="4" width="15.88671875" bestFit="1" customWidth="1"/>
    <col min="6" max="6" width="16.33203125" bestFit="1" customWidth="1"/>
    <col min="7" max="7" width="14.5546875" bestFit="1" customWidth="1"/>
    <col min="9" max="9" width="20.109375" customWidth="1"/>
    <col min="10" max="10" width="16.33203125" bestFit="1" customWidth="1"/>
  </cols>
  <sheetData>
    <row r="1" spans="1:10" x14ac:dyDescent="0.3">
      <c r="A1" s="1" t="s">
        <v>86</v>
      </c>
    </row>
    <row r="2" spans="1:10" x14ac:dyDescent="0.3">
      <c r="E2" s="1" t="s">
        <v>87</v>
      </c>
      <c r="F2" s="1" t="s">
        <v>88</v>
      </c>
      <c r="G2" s="1" t="s">
        <v>89</v>
      </c>
      <c r="H2" s="1"/>
      <c r="I2" s="1" t="s">
        <v>90</v>
      </c>
      <c r="J2" s="1" t="s">
        <v>91</v>
      </c>
    </row>
    <row r="3" spans="1:10" x14ac:dyDescent="0.3">
      <c r="B3" s="34" t="s">
        <v>92</v>
      </c>
      <c r="E3" t="s">
        <v>93</v>
      </c>
      <c r="F3" s="2">
        <v>45749.26</v>
      </c>
      <c r="G3" s="35">
        <v>46477</v>
      </c>
      <c r="I3" s="2">
        <f>SUM(D12:D39)</f>
        <v>35922.740000000005</v>
      </c>
      <c r="J3" s="2">
        <f>F3-I3</f>
        <v>9826.5199999999968</v>
      </c>
    </row>
    <row r="4" spans="1:10" x14ac:dyDescent="0.3">
      <c r="B4" s="34" t="s">
        <v>94</v>
      </c>
      <c r="E4" t="s">
        <v>95</v>
      </c>
      <c r="F4" s="2">
        <v>15594.86</v>
      </c>
      <c r="G4" s="35">
        <v>46477</v>
      </c>
      <c r="I4" s="2">
        <v>0</v>
      </c>
      <c r="J4" s="2">
        <f>F4-I4</f>
        <v>15594.86</v>
      </c>
    </row>
    <row r="5" spans="1:10" x14ac:dyDescent="0.3">
      <c r="E5" t="s">
        <v>96</v>
      </c>
      <c r="F5" s="2">
        <v>16450.71</v>
      </c>
      <c r="G5" s="35">
        <v>47080</v>
      </c>
      <c r="I5" s="2">
        <v>0</v>
      </c>
      <c r="J5" s="2">
        <f t="shared" ref="J5:J6" si="0">F5-I5</f>
        <v>16450.71</v>
      </c>
    </row>
    <row r="6" spans="1:10" x14ac:dyDescent="0.3">
      <c r="E6" t="s">
        <v>97</v>
      </c>
      <c r="F6" s="2">
        <v>4540.46</v>
      </c>
      <c r="G6" s="35">
        <v>47261</v>
      </c>
      <c r="I6" s="2">
        <v>0</v>
      </c>
      <c r="J6" s="2">
        <f t="shared" si="0"/>
        <v>4540.46</v>
      </c>
    </row>
    <row r="7" spans="1:10" x14ac:dyDescent="0.3">
      <c r="E7" t="s">
        <v>168</v>
      </c>
      <c r="F7" s="2">
        <f>SUM(F3:F6)</f>
        <v>82335.290000000008</v>
      </c>
      <c r="I7" s="2"/>
      <c r="J7" s="2"/>
    </row>
    <row r="8" spans="1:10" x14ac:dyDescent="0.3">
      <c r="E8" s="1" t="s">
        <v>169</v>
      </c>
      <c r="F8" s="1"/>
      <c r="G8" s="1"/>
      <c r="H8" s="1"/>
      <c r="I8" s="8">
        <f>SUM(J3:J6)</f>
        <v>46412.549999999996</v>
      </c>
      <c r="J8" s="2"/>
    </row>
    <row r="9" spans="1:10" x14ac:dyDescent="0.3">
      <c r="E9" s="1" t="s">
        <v>109</v>
      </c>
      <c r="F9" s="1"/>
      <c r="G9" s="1"/>
      <c r="H9" s="1"/>
      <c r="I9" s="8">
        <f>J3+J4</f>
        <v>25421.379999999997</v>
      </c>
      <c r="J9" s="2"/>
    </row>
    <row r="11" spans="1:10" x14ac:dyDescent="0.3">
      <c r="A11" s="1" t="s">
        <v>87</v>
      </c>
      <c r="B11" s="1" t="s">
        <v>178</v>
      </c>
      <c r="C11" s="1" t="s">
        <v>374</v>
      </c>
      <c r="D11" s="107" t="s">
        <v>375</v>
      </c>
      <c r="E11" s="1" t="s">
        <v>281</v>
      </c>
    </row>
    <row r="12" spans="1:10" x14ac:dyDescent="0.3">
      <c r="A12" t="s">
        <v>376</v>
      </c>
      <c r="B12" t="s">
        <v>377</v>
      </c>
      <c r="C12" s="35">
        <v>44603</v>
      </c>
      <c r="D12" s="108">
        <v>407.88</v>
      </c>
      <c r="E12" t="s">
        <v>378</v>
      </c>
    </row>
    <row r="13" spans="1:10" x14ac:dyDescent="0.3">
      <c r="A13" t="s">
        <v>376</v>
      </c>
      <c r="B13" t="s">
        <v>379</v>
      </c>
      <c r="C13" s="35">
        <v>44876</v>
      </c>
      <c r="D13" s="108">
        <v>1174.99</v>
      </c>
      <c r="E13" t="s">
        <v>378</v>
      </c>
    </row>
    <row r="14" spans="1:10" x14ac:dyDescent="0.3">
      <c r="A14" t="s">
        <v>376</v>
      </c>
      <c r="B14" t="s">
        <v>380</v>
      </c>
      <c r="C14" s="35">
        <v>44971</v>
      </c>
      <c r="D14" s="108">
        <v>4123.5</v>
      </c>
      <c r="E14" t="s">
        <v>378</v>
      </c>
    </row>
    <row r="15" spans="1:10" x14ac:dyDescent="0.3">
      <c r="A15" t="s">
        <v>376</v>
      </c>
      <c r="B15" t="s">
        <v>381</v>
      </c>
      <c r="C15" s="35">
        <v>45335</v>
      </c>
      <c r="D15" s="108">
        <v>1368</v>
      </c>
      <c r="E15" t="s">
        <v>378</v>
      </c>
    </row>
    <row r="16" spans="1:10" x14ac:dyDescent="0.3">
      <c r="A16" t="s">
        <v>376</v>
      </c>
      <c r="B16" t="s">
        <v>382</v>
      </c>
      <c r="C16" s="35">
        <v>45448</v>
      </c>
      <c r="D16" s="108">
        <v>4103.87</v>
      </c>
      <c r="E16" t="s">
        <v>378</v>
      </c>
    </row>
    <row r="17" spans="1:5" x14ac:dyDescent="0.3">
      <c r="A17" t="s">
        <v>376</v>
      </c>
      <c r="B17" t="s">
        <v>383</v>
      </c>
      <c r="C17" s="35">
        <v>45510</v>
      </c>
      <c r="D17" s="108">
        <v>2573.88</v>
      </c>
      <c r="E17" t="s">
        <v>378</v>
      </c>
    </row>
    <row r="18" spans="1:5" x14ac:dyDescent="0.3">
      <c r="A18" t="s">
        <v>376</v>
      </c>
      <c r="B18" t="s">
        <v>384</v>
      </c>
      <c r="C18" s="35">
        <v>45565</v>
      </c>
      <c r="D18" s="108">
        <v>1740</v>
      </c>
      <c r="E18" t="s">
        <v>378</v>
      </c>
    </row>
    <row r="19" spans="1:5" x14ac:dyDescent="0.3">
      <c r="A19" t="s">
        <v>376</v>
      </c>
      <c r="B19" t="s">
        <v>385</v>
      </c>
      <c r="C19" s="35">
        <v>45629</v>
      </c>
      <c r="D19" s="108">
        <v>320</v>
      </c>
      <c r="E19" t="s">
        <v>378</v>
      </c>
    </row>
    <row r="20" spans="1:5" x14ac:dyDescent="0.3">
      <c r="A20" t="s">
        <v>376</v>
      </c>
      <c r="B20" t="s">
        <v>386</v>
      </c>
      <c r="C20" s="35">
        <v>45734</v>
      </c>
      <c r="D20" s="108">
        <v>4245</v>
      </c>
      <c r="E20" t="s">
        <v>378</v>
      </c>
    </row>
    <row r="21" spans="1:5" x14ac:dyDescent="0.3">
      <c r="A21" t="s">
        <v>376</v>
      </c>
      <c r="B21" t="s">
        <v>386</v>
      </c>
      <c r="C21" s="35">
        <v>45736</v>
      </c>
      <c r="D21" s="108">
        <v>825</v>
      </c>
      <c r="E21" t="s">
        <v>378</v>
      </c>
    </row>
    <row r="22" spans="1:5" x14ac:dyDescent="0.3">
      <c r="A22" t="s">
        <v>376</v>
      </c>
      <c r="B22" t="s">
        <v>387</v>
      </c>
      <c r="C22" s="35">
        <v>45632</v>
      </c>
      <c r="D22" s="108">
        <v>250</v>
      </c>
      <c r="E22" t="s">
        <v>378</v>
      </c>
    </row>
    <row r="23" spans="1:5" x14ac:dyDescent="0.3">
      <c r="A23" t="s">
        <v>376</v>
      </c>
      <c r="B23" t="s">
        <v>388</v>
      </c>
      <c r="C23" s="35">
        <v>46112</v>
      </c>
      <c r="D23" s="109">
        <v>4350</v>
      </c>
      <c r="E23" t="s">
        <v>378</v>
      </c>
    </row>
    <row r="24" spans="1:5" x14ac:dyDescent="0.3">
      <c r="A24" t="s">
        <v>376</v>
      </c>
      <c r="B24" t="s">
        <v>389</v>
      </c>
      <c r="C24" s="35">
        <v>46147</v>
      </c>
      <c r="D24" s="109">
        <v>537.5</v>
      </c>
      <c r="E24" t="s">
        <v>378</v>
      </c>
    </row>
    <row r="25" spans="1:5" x14ac:dyDescent="0.3">
      <c r="A25" t="s">
        <v>376</v>
      </c>
      <c r="B25" t="s">
        <v>390</v>
      </c>
      <c r="C25" s="35">
        <v>46182</v>
      </c>
      <c r="D25" s="108">
        <v>820</v>
      </c>
      <c r="E25" t="s">
        <v>378</v>
      </c>
    </row>
    <row r="26" spans="1:5" x14ac:dyDescent="0.3">
      <c r="A26" t="s">
        <v>376</v>
      </c>
      <c r="B26" t="s">
        <v>391</v>
      </c>
      <c r="C26" s="35">
        <v>46182</v>
      </c>
      <c r="D26" s="108">
        <v>332.27</v>
      </c>
      <c r="E26" t="s">
        <v>378</v>
      </c>
    </row>
    <row r="27" spans="1:5" x14ac:dyDescent="0.3">
      <c r="A27" t="s">
        <v>376</v>
      </c>
      <c r="B27" t="s">
        <v>392</v>
      </c>
      <c r="C27" s="35">
        <v>46182</v>
      </c>
      <c r="D27" s="108">
        <v>136.63</v>
      </c>
      <c r="E27" t="s">
        <v>378</v>
      </c>
    </row>
    <row r="28" spans="1:5" x14ac:dyDescent="0.3">
      <c r="A28" t="s">
        <v>376</v>
      </c>
      <c r="B28" t="s">
        <v>393</v>
      </c>
      <c r="C28" s="35">
        <v>46183</v>
      </c>
      <c r="D28" s="108">
        <v>314.22000000000003</v>
      </c>
      <c r="E28" t="s">
        <v>378</v>
      </c>
    </row>
    <row r="29" spans="1:5" x14ac:dyDescent="0.3">
      <c r="A29" t="s">
        <v>376</v>
      </c>
      <c r="B29" t="s">
        <v>394</v>
      </c>
      <c r="C29" s="35">
        <v>46217</v>
      </c>
      <c r="D29" s="108">
        <v>3050</v>
      </c>
      <c r="E29" t="s">
        <v>378</v>
      </c>
    </row>
    <row r="30" spans="1:5" x14ac:dyDescent="0.3">
      <c r="A30" t="s">
        <v>376</v>
      </c>
      <c r="B30" t="s">
        <v>395</v>
      </c>
      <c r="C30" s="35">
        <v>46217</v>
      </c>
      <c r="D30" s="108">
        <v>1105</v>
      </c>
      <c r="E30" t="s">
        <v>378</v>
      </c>
    </row>
    <row r="31" spans="1:5" x14ac:dyDescent="0.3">
      <c r="A31" t="s">
        <v>376</v>
      </c>
      <c r="B31" t="s">
        <v>396</v>
      </c>
      <c r="C31" s="35">
        <v>46218</v>
      </c>
      <c r="D31" s="108">
        <v>120</v>
      </c>
      <c r="E31" t="s">
        <v>378</v>
      </c>
    </row>
    <row r="32" spans="1:5" x14ac:dyDescent="0.3">
      <c r="A32" t="s">
        <v>376</v>
      </c>
      <c r="B32" t="s">
        <v>397</v>
      </c>
      <c r="C32" s="35">
        <v>46218</v>
      </c>
      <c r="D32" s="108">
        <v>306</v>
      </c>
      <c r="E32" t="s">
        <v>378</v>
      </c>
    </row>
    <row r="33" spans="1:5" x14ac:dyDescent="0.3">
      <c r="A33" t="s">
        <v>376</v>
      </c>
      <c r="B33" t="s">
        <v>398</v>
      </c>
      <c r="C33" s="35">
        <v>46245</v>
      </c>
      <c r="D33" s="108">
        <v>750</v>
      </c>
      <c r="E33" t="s">
        <v>378</v>
      </c>
    </row>
    <row r="34" spans="1:5" x14ac:dyDescent="0.3">
      <c r="A34" t="s">
        <v>376</v>
      </c>
      <c r="B34" t="s">
        <v>389</v>
      </c>
      <c r="C34" s="35">
        <v>46247</v>
      </c>
      <c r="D34" s="108">
        <v>1296</v>
      </c>
      <c r="E34" t="s">
        <v>378</v>
      </c>
    </row>
    <row r="35" spans="1:5" x14ac:dyDescent="0.3">
      <c r="A35" t="s">
        <v>376</v>
      </c>
      <c r="B35" t="s">
        <v>397</v>
      </c>
      <c r="C35" s="35">
        <v>46247</v>
      </c>
      <c r="D35" s="108">
        <v>318</v>
      </c>
      <c r="E35" t="s">
        <v>378</v>
      </c>
    </row>
    <row r="36" spans="1:5" x14ac:dyDescent="0.3">
      <c r="A36" t="s">
        <v>376</v>
      </c>
      <c r="B36" t="s">
        <v>399</v>
      </c>
      <c r="C36" s="35">
        <v>46280</v>
      </c>
      <c r="D36" s="108">
        <v>1355</v>
      </c>
      <c r="E36" t="s">
        <v>378</v>
      </c>
    </row>
    <row r="37" spans="1:5" x14ac:dyDescent="0.3">
      <c r="A37" t="s">
        <v>376</v>
      </c>
      <c r="B37" t="s">
        <v>400</v>
      </c>
      <c r="C37" s="35"/>
      <c r="D37" s="108"/>
      <c r="E37" t="s">
        <v>401</v>
      </c>
    </row>
    <row r="38" spans="1:5" x14ac:dyDescent="0.3">
      <c r="A38" t="s">
        <v>376</v>
      </c>
      <c r="B38" t="s">
        <v>402</v>
      </c>
      <c r="C38" s="35"/>
      <c r="D38" s="108"/>
      <c r="E38" t="s">
        <v>401</v>
      </c>
    </row>
    <row r="39" spans="1:5" x14ac:dyDescent="0.3">
      <c r="A39" t="s">
        <v>376</v>
      </c>
      <c r="B39" t="s">
        <v>403</v>
      </c>
      <c r="D39" s="108"/>
      <c r="E39" t="s">
        <v>401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A0679-2927-4741-B8EE-670FCE3DFB94}">
  <dimension ref="A1:F4"/>
  <sheetViews>
    <sheetView workbookViewId="0">
      <selection activeCell="F4" sqref="F4"/>
    </sheetView>
  </sheetViews>
  <sheetFormatPr defaultRowHeight="14.4" x14ac:dyDescent="0.3"/>
  <cols>
    <col min="1" max="1" width="12" bestFit="1" customWidth="1"/>
    <col min="2" max="2" width="45.109375" bestFit="1" customWidth="1"/>
    <col min="3" max="3" width="27.33203125" customWidth="1"/>
    <col min="4" max="4" width="22.44140625" customWidth="1"/>
    <col min="5" max="5" width="18.6640625" customWidth="1"/>
    <col min="6" max="6" width="13.5546875" customWidth="1"/>
  </cols>
  <sheetData>
    <row r="1" spans="1:6" x14ac:dyDescent="0.3">
      <c r="A1" s="1" t="s">
        <v>16</v>
      </c>
    </row>
    <row r="2" spans="1:6" ht="15.6" x14ac:dyDescent="0.3">
      <c r="A2" s="112" t="s">
        <v>177</v>
      </c>
      <c r="B2" s="113"/>
      <c r="C2" s="113"/>
      <c r="D2" s="113"/>
      <c r="E2" s="114"/>
      <c r="F2" s="13">
        <v>2117.0200000000004</v>
      </c>
    </row>
    <row r="4" spans="1:6" x14ac:dyDescent="0.3">
      <c r="D4" t="s">
        <v>239</v>
      </c>
      <c r="E4" t="s">
        <v>238</v>
      </c>
      <c r="F4" s="2">
        <v>524.01</v>
      </c>
    </row>
  </sheetData>
  <mergeCells count="1">
    <mergeCell ref="A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8C1BC-8CDA-4EAF-85D2-99EA5FF25AA8}">
  <dimension ref="A1:G20"/>
  <sheetViews>
    <sheetView workbookViewId="0">
      <selection activeCell="G12" sqref="G12"/>
    </sheetView>
  </sheetViews>
  <sheetFormatPr defaultRowHeight="14.4" x14ac:dyDescent="0.3"/>
  <cols>
    <col min="1" max="1" width="38" customWidth="1"/>
    <col min="2" max="2" width="16.88671875" bestFit="1" customWidth="1"/>
    <col min="4" max="4" width="45.88671875" customWidth="1"/>
    <col min="5" max="5" width="15.5546875" bestFit="1" customWidth="1"/>
  </cols>
  <sheetData>
    <row r="1" spans="1:7" ht="15.6" x14ac:dyDescent="0.3">
      <c r="A1" s="53" t="s">
        <v>98</v>
      </c>
      <c r="B1" s="53"/>
      <c r="C1" s="53"/>
      <c r="D1" s="53"/>
      <c r="E1" s="53"/>
    </row>
    <row r="2" spans="1:7" ht="15.6" x14ac:dyDescent="0.3">
      <c r="A2" s="54" t="s">
        <v>235</v>
      </c>
      <c r="B2" s="53"/>
      <c r="C2" s="53"/>
      <c r="D2" s="53"/>
      <c r="E2" s="53"/>
    </row>
    <row r="3" spans="1:7" ht="15.6" x14ac:dyDescent="0.3">
      <c r="A3" s="14"/>
      <c r="B3" s="15" t="s">
        <v>99</v>
      </c>
      <c r="C3" s="14"/>
      <c r="D3" s="14"/>
      <c r="E3" s="15" t="s">
        <v>99</v>
      </c>
    </row>
    <row r="4" spans="1:7" ht="15.6" x14ac:dyDescent="0.3">
      <c r="A4" s="16" t="s">
        <v>100</v>
      </c>
      <c r="B4" s="17">
        <v>120754.64000000001</v>
      </c>
      <c r="C4" s="16"/>
      <c r="D4" s="16" t="s">
        <v>101</v>
      </c>
      <c r="E4" s="17">
        <v>7550.0699999999988</v>
      </c>
    </row>
    <row r="5" spans="1:7" ht="15.6" x14ac:dyDescent="0.3">
      <c r="A5" s="16" t="s">
        <v>102</v>
      </c>
      <c r="B5" s="17">
        <v>19202.27</v>
      </c>
      <c r="C5" s="16"/>
      <c r="D5" s="16" t="s">
        <v>103</v>
      </c>
      <c r="E5" s="18">
        <v>132406.84</v>
      </c>
    </row>
    <row r="6" spans="1:7" ht="15.6" x14ac:dyDescent="0.3">
      <c r="A6" s="14"/>
      <c r="B6" s="19"/>
      <c r="C6" s="14"/>
      <c r="D6" s="14"/>
      <c r="E6" s="19"/>
    </row>
    <row r="7" spans="1:7" ht="15.6" x14ac:dyDescent="0.3">
      <c r="A7" s="14"/>
      <c r="B7" s="19"/>
      <c r="C7" s="14"/>
      <c r="D7" s="14"/>
      <c r="E7" s="19"/>
    </row>
    <row r="8" spans="1:7" ht="16.2" thickBot="1" x14ac:dyDescent="0.35">
      <c r="A8" s="14" t="s">
        <v>17</v>
      </c>
      <c r="B8" s="20">
        <v>139956.91</v>
      </c>
      <c r="C8" s="14"/>
      <c r="D8" s="14" t="s">
        <v>17</v>
      </c>
      <c r="E8" s="20">
        <v>139956.91</v>
      </c>
    </row>
    <row r="9" spans="1:7" ht="16.2" thickTop="1" x14ac:dyDescent="0.3">
      <c r="A9" s="14"/>
      <c r="B9" s="19"/>
      <c r="C9" s="14"/>
      <c r="D9" s="14"/>
      <c r="E9" s="19"/>
      <c r="G9" s="21"/>
    </row>
    <row r="10" spans="1:7" ht="15.6" x14ac:dyDescent="0.3">
      <c r="A10" s="55" t="s">
        <v>236</v>
      </c>
      <c r="B10" s="19"/>
      <c r="C10" s="14"/>
      <c r="D10" s="14" t="s">
        <v>104</v>
      </c>
      <c r="E10" s="22">
        <v>132406.84</v>
      </c>
    </row>
    <row r="11" spans="1:7" ht="15.6" x14ac:dyDescent="0.3">
      <c r="A11" s="16" t="s">
        <v>205</v>
      </c>
      <c r="B11" s="23">
        <v>20652.36</v>
      </c>
      <c r="C11" s="14" t="s">
        <v>237</v>
      </c>
      <c r="D11" s="14"/>
      <c r="E11" s="19"/>
    </row>
    <row r="12" spans="1:7" ht="15.6" x14ac:dyDescent="0.3">
      <c r="A12" s="16" t="s">
        <v>206</v>
      </c>
      <c r="B12" s="23">
        <v>62791.83</v>
      </c>
      <c r="C12" s="14"/>
      <c r="D12" s="14" t="s">
        <v>105</v>
      </c>
      <c r="E12" s="22">
        <v>0</v>
      </c>
    </row>
    <row r="13" spans="1:7" ht="15.6" x14ac:dyDescent="0.3">
      <c r="A13" s="16" t="s">
        <v>207</v>
      </c>
      <c r="B13" s="23">
        <v>48962.65</v>
      </c>
      <c r="C13" s="14"/>
      <c r="D13" s="16"/>
      <c r="E13" s="24"/>
    </row>
    <row r="14" spans="1:7" ht="15.6" x14ac:dyDescent="0.3">
      <c r="A14" s="16"/>
      <c r="B14" s="56">
        <v>132406.84</v>
      </c>
      <c r="C14" s="14"/>
      <c r="D14" s="25"/>
      <c r="E14" s="26"/>
    </row>
    <row r="15" spans="1:7" ht="15.6" x14ac:dyDescent="0.3">
      <c r="A15" s="14"/>
      <c r="B15" s="19"/>
      <c r="C15" s="14"/>
    </row>
    <row r="16" spans="1:7" ht="15.6" x14ac:dyDescent="0.3">
      <c r="A16" s="14"/>
      <c r="B16" s="19"/>
      <c r="C16" s="14"/>
      <c r="D16" s="14"/>
      <c r="E16" s="27"/>
    </row>
    <row r="17" spans="1:5" ht="15.6" x14ac:dyDescent="0.3">
      <c r="A17" s="14"/>
      <c r="B17" s="19"/>
      <c r="C17" s="14"/>
      <c r="D17" s="14" t="s">
        <v>106</v>
      </c>
      <c r="E17" s="22">
        <v>0</v>
      </c>
    </row>
    <row r="18" spans="1:5" ht="15.6" x14ac:dyDescent="0.3">
      <c r="A18" s="14"/>
      <c r="B18" s="19"/>
      <c r="C18" s="14"/>
      <c r="D18" s="14" t="s">
        <v>107</v>
      </c>
      <c r="E18" s="22">
        <v>132406.84</v>
      </c>
    </row>
    <row r="19" spans="1:5" ht="16.2" thickBot="1" x14ac:dyDescent="0.35">
      <c r="A19" s="14"/>
      <c r="B19" s="19"/>
      <c r="C19" s="14"/>
      <c r="D19" s="14" t="s">
        <v>108</v>
      </c>
      <c r="E19" s="20">
        <v>132406.84</v>
      </c>
    </row>
    <row r="20" spans="1:5" ht="15" thickTop="1" x14ac:dyDescent="0.3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E058D-82A7-4404-B57F-A438880688FC}">
  <dimension ref="B2:H45"/>
  <sheetViews>
    <sheetView workbookViewId="0">
      <selection activeCell="G26" sqref="G26"/>
    </sheetView>
  </sheetViews>
  <sheetFormatPr defaultRowHeight="14.4" x14ac:dyDescent="0.3"/>
  <cols>
    <col min="2" max="2" width="36.88671875" customWidth="1"/>
    <col min="3" max="3" width="12.77734375" customWidth="1"/>
    <col min="4" max="4" width="12.44140625" bestFit="1" customWidth="1"/>
    <col min="5" max="5" width="11.44140625" bestFit="1" customWidth="1"/>
    <col min="6" max="6" width="57.5546875" customWidth="1"/>
    <col min="7" max="7" width="12" customWidth="1"/>
    <col min="8" max="8" width="18.21875" bestFit="1" customWidth="1"/>
  </cols>
  <sheetData>
    <row r="2" spans="2:8" ht="15.6" x14ac:dyDescent="0.3">
      <c r="B2" s="39" t="s">
        <v>201</v>
      </c>
      <c r="F2" s="39" t="s">
        <v>203</v>
      </c>
    </row>
    <row r="3" spans="2:8" ht="27.6" x14ac:dyDescent="0.3">
      <c r="B3" s="40" t="s">
        <v>208</v>
      </c>
      <c r="C3" s="41">
        <f>'Monthly Reconcilitation'!B14</f>
        <v>132406.84</v>
      </c>
      <c r="F3" s="43" t="s">
        <v>188</v>
      </c>
      <c r="G3" s="43" t="s">
        <v>189</v>
      </c>
      <c r="H3" s="1" t="s">
        <v>409</v>
      </c>
    </row>
    <row r="4" spans="2:8" x14ac:dyDescent="0.3">
      <c r="B4" s="40" t="s">
        <v>200</v>
      </c>
      <c r="C4" s="42">
        <f>'I &amp; E 26 to 27'!C9+'I &amp; E 26 to 27'!C8+'I &amp; E 26 to 27'!C7+'I &amp; E 26 to 27'!C6</f>
        <v>41800</v>
      </c>
      <c r="F4" s="44" t="s">
        <v>190</v>
      </c>
      <c r="G4" s="51">
        <v>4000</v>
      </c>
      <c r="H4" s="40"/>
    </row>
    <row r="5" spans="2:8" x14ac:dyDescent="0.3">
      <c r="B5" s="40" t="s">
        <v>209</v>
      </c>
      <c r="C5" s="41">
        <f>'CIL Report'!I8</f>
        <v>46412.549999999996</v>
      </c>
      <c r="F5" s="44" t="s">
        <v>191</v>
      </c>
      <c r="G5" s="51">
        <v>25000</v>
      </c>
      <c r="H5" s="40"/>
    </row>
    <row r="6" spans="2:8" x14ac:dyDescent="0.3">
      <c r="B6" s="40" t="s">
        <v>233</v>
      </c>
      <c r="C6" s="42">
        <f>C3-C4-C5</f>
        <v>44194.29</v>
      </c>
      <c r="F6" s="43" t="s">
        <v>221</v>
      </c>
      <c r="G6" s="45">
        <f>SUM(G4:G5)</f>
        <v>29000</v>
      </c>
      <c r="H6" s="40"/>
    </row>
    <row r="7" spans="2:8" ht="15.6" x14ac:dyDescent="0.3">
      <c r="B7" s="37"/>
      <c r="F7" s="44"/>
      <c r="G7" s="44"/>
      <c r="H7" s="40"/>
    </row>
    <row r="8" spans="2:8" ht="15" x14ac:dyDescent="0.3">
      <c r="B8" s="36"/>
      <c r="F8" s="44" t="s">
        <v>271</v>
      </c>
      <c r="G8" s="51">
        <v>6000</v>
      </c>
      <c r="H8" s="40" t="s">
        <v>407</v>
      </c>
    </row>
    <row r="9" spans="2:8" x14ac:dyDescent="0.3">
      <c r="B9" s="1" t="s">
        <v>202</v>
      </c>
      <c r="F9" s="44" t="s">
        <v>192</v>
      </c>
      <c r="G9" s="51">
        <v>8000</v>
      </c>
      <c r="H9" s="40" t="s">
        <v>407</v>
      </c>
    </row>
    <row r="10" spans="2:8" x14ac:dyDescent="0.3">
      <c r="B10" s="38"/>
      <c r="F10" s="44" t="s">
        <v>272</v>
      </c>
      <c r="G10" s="51">
        <v>2000</v>
      </c>
      <c r="H10" s="40" t="s">
        <v>407</v>
      </c>
    </row>
    <row r="11" spans="2:8" ht="27.6" x14ac:dyDescent="0.3">
      <c r="B11" s="46" t="s">
        <v>178</v>
      </c>
      <c r="C11" s="46" t="s">
        <v>179</v>
      </c>
      <c r="F11" s="44" t="s">
        <v>193</v>
      </c>
      <c r="G11" s="51">
        <v>3500</v>
      </c>
      <c r="H11" s="40" t="s">
        <v>407</v>
      </c>
    </row>
    <row r="12" spans="2:8" x14ac:dyDescent="0.3">
      <c r="B12" s="47" t="s">
        <v>180</v>
      </c>
      <c r="C12" s="110">
        <f>'Forecast Calcs'!D9</f>
        <v>11914.8</v>
      </c>
      <c r="F12" s="44" t="s">
        <v>194</v>
      </c>
      <c r="G12" s="51">
        <v>5000</v>
      </c>
      <c r="H12" s="40" t="s">
        <v>407</v>
      </c>
    </row>
    <row r="13" spans="2:8" x14ac:dyDescent="0.3">
      <c r="B13" s="47" t="s">
        <v>181</v>
      </c>
      <c r="C13" s="110">
        <f>'Forecast Calcs'!D10</f>
        <v>19703.940000000002</v>
      </c>
      <c r="F13" s="44" t="s">
        <v>195</v>
      </c>
      <c r="G13" s="51">
        <v>10000</v>
      </c>
      <c r="H13" s="40" t="s">
        <v>408</v>
      </c>
    </row>
    <row r="14" spans="2:8" x14ac:dyDescent="0.3">
      <c r="B14" s="48" t="s">
        <v>182</v>
      </c>
      <c r="C14" s="110">
        <f>'Forecast Calcs'!D11</f>
        <v>2625</v>
      </c>
      <c r="F14" s="44" t="s">
        <v>196</v>
      </c>
      <c r="G14" s="51">
        <v>1000</v>
      </c>
      <c r="H14" s="40" t="s">
        <v>410</v>
      </c>
    </row>
    <row r="15" spans="2:8" x14ac:dyDescent="0.3">
      <c r="B15" s="48" t="s">
        <v>183</v>
      </c>
      <c r="C15" s="110">
        <f>'Forecast Calcs'!D12</f>
        <v>1664.01</v>
      </c>
      <c r="F15" s="44" t="s">
        <v>197</v>
      </c>
      <c r="G15" s="52">
        <v>100</v>
      </c>
      <c r="H15" s="40" t="s">
        <v>407</v>
      </c>
    </row>
    <row r="16" spans="2:8" x14ac:dyDescent="0.3">
      <c r="B16" s="46" t="s">
        <v>184</v>
      </c>
      <c r="C16" s="69">
        <f>C5-C12</f>
        <v>34497.75</v>
      </c>
      <c r="F16" s="44" t="s">
        <v>198</v>
      </c>
      <c r="G16" s="51">
        <v>2000</v>
      </c>
      <c r="H16" s="40" t="s">
        <v>407</v>
      </c>
    </row>
    <row r="17" spans="2:8" x14ac:dyDescent="0.3">
      <c r="B17" s="46" t="s">
        <v>185</v>
      </c>
      <c r="C17" s="69">
        <f>C6-C13-C14+C15</f>
        <v>23529.359999999997</v>
      </c>
      <c r="F17" s="44" t="s">
        <v>273</v>
      </c>
      <c r="G17" s="52">
        <v>240</v>
      </c>
      <c r="H17" s="40" t="s">
        <v>407</v>
      </c>
    </row>
    <row r="18" spans="2:8" x14ac:dyDescent="0.3">
      <c r="B18" s="48"/>
      <c r="C18" s="69"/>
      <c r="F18" s="44" t="s">
        <v>225</v>
      </c>
      <c r="G18" s="52">
        <v>400</v>
      </c>
      <c r="H18" s="40" t="s">
        <v>410</v>
      </c>
    </row>
    <row r="19" spans="2:8" ht="27.6" x14ac:dyDescent="0.3">
      <c r="B19" s="48" t="s">
        <v>186</v>
      </c>
      <c r="C19" s="69">
        <f>'Forecast Calcs'!D16</f>
        <v>38800</v>
      </c>
      <c r="F19" s="44" t="s">
        <v>232</v>
      </c>
      <c r="G19" s="52">
        <v>310</v>
      </c>
      <c r="H19" s="40" t="s">
        <v>407</v>
      </c>
    </row>
    <row r="20" spans="2:8" x14ac:dyDescent="0.3">
      <c r="B20" s="46" t="s">
        <v>184</v>
      </c>
      <c r="C20" s="69">
        <v>0</v>
      </c>
      <c r="F20" s="44" t="s">
        <v>234</v>
      </c>
      <c r="G20" s="52">
        <v>200</v>
      </c>
      <c r="H20" s="40" t="s">
        <v>407</v>
      </c>
    </row>
    <row r="21" spans="2:8" x14ac:dyDescent="0.3">
      <c r="B21" s="46" t="s">
        <v>185</v>
      </c>
      <c r="C21" s="69">
        <f>C17-(C19-C16)</f>
        <v>19227.109999999997</v>
      </c>
      <c r="F21" s="44" t="s">
        <v>227</v>
      </c>
      <c r="G21" s="52">
        <v>300</v>
      </c>
      <c r="H21" s="40" t="s">
        <v>410</v>
      </c>
    </row>
    <row r="22" spans="2:8" x14ac:dyDescent="0.3">
      <c r="B22" s="46"/>
      <c r="C22" s="70"/>
      <c r="F22" s="44" t="s">
        <v>405</v>
      </c>
      <c r="G22" s="52">
        <v>500</v>
      </c>
      <c r="H22" s="40" t="s">
        <v>410</v>
      </c>
    </row>
    <row r="23" spans="2:8" ht="27.6" x14ac:dyDescent="0.3">
      <c r="B23" s="48" t="s">
        <v>187</v>
      </c>
      <c r="C23" s="71">
        <f>'Forecast Calcs'!D20</f>
        <v>1355</v>
      </c>
      <c r="F23" s="44" t="s">
        <v>406</v>
      </c>
      <c r="G23" s="52">
        <v>100</v>
      </c>
      <c r="H23" s="40" t="s">
        <v>407</v>
      </c>
    </row>
    <row r="24" spans="2:8" x14ac:dyDescent="0.3">
      <c r="B24" s="46" t="s">
        <v>184</v>
      </c>
      <c r="C24" s="71">
        <f>C16</f>
        <v>34497.75</v>
      </c>
      <c r="F24" s="44" t="s">
        <v>411</v>
      </c>
      <c r="G24" s="52">
        <v>8000</v>
      </c>
      <c r="H24" s="40" t="s">
        <v>407</v>
      </c>
    </row>
    <row r="25" spans="2:8" ht="27.6" x14ac:dyDescent="0.3">
      <c r="B25" s="46" t="s">
        <v>185</v>
      </c>
      <c r="C25" s="71">
        <f>C17-C23</f>
        <v>22174.359999999997</v>
      </c>
      <c r="F25" s="44" t="s">
        <v>412</v>
      </c>
      <c r="G25" s="52">
        <f>8*10</f>
        <v>80</v>
      </c>
      <c r="H25" s="40" t="s">
        <v>407</v>
      </c>
    </row>
    <row r="26" spans="2:8" ht="15" x14ac:dyDescent="0.3">
      <c r="B26" s="36"/>
      <c r="F26" s="44" t="s">
        <v>416</v>
      </c>
      <c r="G26" s="52"/>
      <c r="H26" s="40" t="s">
        <v>407</v>
      </c>
    </row>
    <row r="27" spans="2:8" ht="15" x14ac:dyDescent="0.3">
      <c r="B27" s="36"/>
      <c r="F27" s="43" t="s">
        <v>199</v>
      </c>
      <c r="G27" s="45">
        <f>SUM(G8:G24)</f>
        <v>47650</v>
      </c>
      <c r="H27" s="40"/>
    </row>
    <row r="45" spans="2:2" ht="15" x14ac:dyDescent="0.3">
      <c r="B45" s="3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DA41B-3A74-4426-BE32-C68EF4D57789}">
  <dimension ref="B2:Z13"/>
  <sheetViews>
    <sheetView workbookViewId="0">
      <selection activeCell="G16" sqref="G16"/>
    </sheetView>
  </sheetViews>
  <sheetFormatPr defaultRowHeight="14.4" x14ac:dyDescent="0.3"/>
  <cols>
    <col min="2" max="2" width="8.5546875" bestFit="1" customWidth="1"/>
    <col min="3" max="3" width="7.21875" bestFit="1" customWidth="1"/>
    <col min="4" max="4" width="6" bestFit="1" customWidth="1"/>
    <col min="5" max="5" width="4.88671875" bestFit="1" customWidth="1"/>
    <col min="6" max="6" width="6.5546875" bestFit="1" customWidth="1"/>
    <col min="7" max="7" width="7.44140625" bestFit="1" customWidth="1"/>
    <col min="8" max="8" width="7.77734375" bestFit="1" customWidth="1"/>
    <col min="9" max="9" width="5.33203125" bestFit="1" customWidth="1"/>
    <col min="10" max="10" width="4.5546875" bestFit="1" customWidth="1"/>
    <col min="11" max="11" width="7.44140625" bestFit="1" customWidth="1"/>
    <col min="12" max="12" width="4.77734375" bestFit="1" customWidth="1"/>
    <col min="13" max="13" width="5.44140625" bestFit="1" customWidth="1"/>
    <col min="14" max="14" width="7.6640625" bestFit="1" customWidth="1"/>
    <col min="15" max="15" width="6.21875" bestFit="1" customWidth="1"/>
    <col min="16" max="16" width="6.5546875" bestFit="1" customWidth="1"/>
    <col min="18" max="18" width="8.5546875" bestFit="1" customWidth="1"/>
    <col min="19" max="19" width="7.21875" bestFit="1" customWidth="1"/>
    <col min="20" max="20" width="8.5546875" bestFit="1" customWidth="1"/>
    <col min="21" max="21" width="5.44140625" bestFit="1" customWidth="1"/>
    <col min="22" max="22" width="8.5546875" bestFit="1" customWidth="1"/>
    <col min="23" max="23" width="7.77734375" bestFit="1" customWidth="1"/>
    <col min="24" max="24" width="8.33203125" bestFit="1" customWidth="1"/>
    <col min="25" max="25" width="7.44140625" bestFit="1" customWidth="1"/>
    <col min="26" max="26" width="6.44140625" bestFit="1" customWidth="1"/>
  </cols>
  <sheetData>
    <row r="2" spans="2:26" ht="15" thickBot="1" x14ac:dyDescent="0.35">
      <c r="B2" t="s">
        <v>263</v>
      </c>
      <c r="R2" t="s">
        <v>269</v>
      </c>
    </row>
    <row r="3" spans="2:26" ht="40.799999999999997" thickBot="1" x14ac:dyDescent="0.35">
      <c r="B3" s="57" t="s">
        <v>240</v>
      </c>
      <c r="C3" s="58" t="s">
        <v>241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9"/>
      <c r="R3" s="57" t="s">
        <v>240</v>
      </c>
      <c r="S3" s="58" t="s">
        <v>241</v>
      </c>
      <c r="T3" s="58"/>
      <c r="U3" s="58"/>
      <c r="V3" s="58"/>
      <c r="W3" s="58"/>
      <c r="X3" s="58"/>
      <c r="Y3" s="58"/>
      <c r="Z3" s="59"/>
    </row>
    <row r="4" spans="2:26" ht="27.6" thickBot="1" x14ac:dyDescent="0.35">
      <c r="B4" s="57" t="s">
        <v>242</v>
      </c>
      <c r="C4" s="60" t="s">
        <v>243</v>
      </c>
      <c r="D4" s="60" t="s">
        <v>244</v>
      </c>
      <c r="E4" s="60" t="s">
        <v>245</v>
      </c>
      <c r="F4" s="60" t="s">
        <v>246</v>
      </c>
      <c r="G4" s="60" t="s">
        <v>247</v>
      </c>
      <c r="H4" s="60" t="s">
        <v>248</v>
      </c>
      <c r="I4" s="60" t="s">
        <v>249</v>
      </c>
      <c r="J4" s="60" t="s">
        <v>250</v>
      </c>
      <c r="K4" s="60" t="s">
        <v>270</v>
      </c>
      <c r="L4" s="60" t="s">
        <v>251</v>
      </c>
      <c r="M4" s="60" t="s">
        <v>252</v>
      </c>
      <c r="N4" s="60" t="s">
        <v>253</v>
      </c>
      <c r="O4" s="60" t="s">
        <v>254</v>
      </c>
      <c r="P4" s="61" t="s">
        <v>255</v>
      </c>
      <c r="R4" s="57" t="s">
        <v>242</v>
      </c>
      <c r="S4" s="60" t="s">
        <v>264</v>
      </c>
      <c r="T4" s="60" t="s">
        <v>265</v>
      </c>
      <c r="U4" s="60" t="s">
        <v>266</v>
      </c>
      <c r="V4" s="60" t="s">
        <v>267</v>
      </c>
      <c r="W4" s="60" t="s">
        <v>248</v>
      </c>
      <c r="X4" s="60" t="s">
        <v>268</v>
      </c>
      <c r="Y4" s="60" t="s">
        <v>270</v>
      </c>
      <c r="Z4" s="61" t="s">
        <v>255</v>
      </c>
    </row>
    <row r="5" spans="2:26" ht="15" thickBot="1" x14ac:dyDescent="0.35">
      <c r="B5" s="62" t="s">
        <v>256</v>
      </c>
      <c r="C5" s="63"/>
      <c r="D5" s="63"/>
      <c r="E5" s="63"/>
      <c r="F5" s="64">
        <v>42.25</v>
      </c>
      <c r="G5" s="64">
        <v>1</v>
      </c>
      <c r="H5" s="63"/>
      <c r="I5" s="63"/>
      <c r="J5" s="64">
        <v>1</v>
      </c>
      <c r="K5" s="63"/>
      <c r="L5" s="63"/>
      <c r="M5" s="64">
        <v>3</v>
      </c>
      <c r="N5" s="63"/>
      <c r="O5" s="64">
        <v>5</v>
      </c>
      <c r="P5" s="65">
        <v>52.25</v>
      </c>
      <c r="R5" s="62" t="s">
        <v>259</v>
      </c>
      <c r="S5" s="64">
        <v>2.5</v>
      </c>
      <c r="T5" s="63"/>
      <c r="U5" s="64">
        <v>1</v>
      </c>
      <c r="V5" s="63"/>
      <c r="W5" s="64">
        <v>4</v>
      </c>
      <c r="X5" s="64">
        <v>2.5</v>
      </c>
      <c r="Y5" s="64">
        <v>8.1999999999999993</v>
      </c>
      <c r="Z5" s="65">
        <v>18.2</v>
      </c>
    </row>
    <row r="6" spans="2:26" ht="15" thickBot="1" x14ac:dyDescent="0.35">
      <c r="B6" s="62" t="s">
        <v>257</v>
      </c>
      <c r="C6" s="64">
        <v>0.5</v>
      </c>
      <c r="D6" s="63"/>
      <c r="E6" s="64">
        <v>7</v>
      </c>
      <c r="F6" s="64">
        <v>28.5</v>
      </c>
      <c r="G6" s="64">
        <v>1</v>
      </c>
      <c r="H6" s="63"/>
      <c r="I6" s="63"/>
      <c r="J6" s="64">
        <v>2</v>
      </c>
      <c r="K6" s="63"/>
      <c r="L6" s="63"/>
      <c r="M6" s="63"/>
      <c r="N6" s="63"/>
      <c r="O6" s="63"/>
      <c r="P6" s="65">
        <v>39</v>
      </c>
      <c r="R6" s="62" t="s">
        <v>260</v>
      </c>
      <c r="S6" s="64">
        <v>1</v>
      </c>
      <c r="T6" s="63"/>
      <c r="U6" s="63"/>
      <c r="V6" s="63"/>
      <c r="W6" s="64">
        <v>13</v>
      </c>
      <c r="X6" s="63"/>
      <c r="Y6" s="64">
        <v>6</v>
      </c>
      <c r="Z6" s="65">
        <v>20</v>
      </c>
    </row>
    <row r="7" spans="2:26" ht="15" thickBot="1" x14ac:dyDescent="0.35">
      <c r="B7" s="62" t="s">
        <v>258</v>
      </c>
      <c r="C7" s="64">
        <v>68.75</v>
      </c>
      <c r="D7" s="63"/>
      <c r="E7" s="63"/>
      <c r="F7" s="64">
        <v>19</v>
      </c>
      <c r="G7" s="64">
        <v>1</v>
      </c>
      <c r="H7" s="63"/>
      <c r="I7" s="63"/>
      <c r="J7" s="64">
        <v>0.75</v>
      </c>
      <c r="K7" s="63"/>
      <c r="L7" s="63"/>
      <c r="M7" s="63"/>
      <c r="N7" s="63"/>
      <c r="O7" s="64">
        <v>2.5</v>
      </c>
      <c r="P7" s="65">
        <v>92</v>
      </c>
      <c r="R7" s="62" t="s">
        <v>261</v>
      </c>
      <c r="S7" s="64">
        <v>5</v>
      </c>
      <c r="T7" s="64">
        <v>0.5</v>
      </c>
      <c r="U7" s="63"/>
      <c r="V7" s="64">
        <v>1.5</v>
      </c>
      <c r="W7" s="64">
        <v>9.5</v>
      </c>
      <c r="X7" s="63"/>
      <c r="Y7" s="63"/>
      <c r="Z7" s="65">
        <v>16.5</v>
      </c>
    </row>
    <row r="8" spans="2:26" ht="15" thickBot="1" x14ac:dyDescent="0.35">
      <c r="B8" s="62" t="s">
        <v>259</v>
      </c>
      <c r="C8" s="64">
        <v>70.5</v>
      </c>
      <c r="D8" s="64">
        <v>2</v>
      </c>
      <c r="E8" s="63"/>
      <c r="F8" s="64">
        <v>8.5</v>
      </c>
      <c r="G8" s="63"/>
      <c r="H8" s="64">
        <v>19</v>
      </c>
      <c r="I8" s="64">
        <v>0.5</v>
      </c>
      <c r="J8" s="64">
        <v>4</v>
      </c>
      <c r="K8" s="63"/>
      <c r="L8" s="64">
        <v>6</v>
      </c>
      <c r="M8" s="64">
        <v>2</v>
      </c>
      <c r="N8" s="64">
        <v>1</v>
      </c>
      <c r="O8" s="64">
        <v>9.75</v>
      </c>
      <c r="P8" s="65">
        <v>123.25</v>
      </c>
      <c r="R8" s="62" t="s">
        <v>262</v>
      </c>
      <c r="S8" s="64">
        <v>3</v>
      </c>
      <c r="T8" s="63"/>
      <c r="U8" s="63"/>
      <c r="V8" s="63"/>
      <c r="W8" s="63"/>
      <c r="X8" s="63"/>
      <c r="Y8" s="63"/>
      <c r="Z8" s="65">
        <v>3</v>
      </c>
    </row>
    <row r="9" spans="2:26" ht="27.6" thickBot="1" x14ac:dyDescent="0.35">
      <c r="B9" s="62" t="s">
        <v>260</v>
      </c>
      <c r="C9" s="64">
        <v>109</v>
      </c>
      <c r="D9" s="63"/>
      <c r="E9" s="63"/>
      <c r="F9" s="64">
        <v>3.5</v>
      </c>
      <c r="G9" s="63"/>
      <c r="H9" s="63"/>
      <c r="I9" s="63"/>
      <c r="J9" s="63"/>
      <c r="K9" s="64">
        <v>15</v>
      </c>
      <c r="L9" s="63"/>
      <c r="M9" s="63"/>
      <c r="N9" s="63"/>
      <c r="O9" s="63"/>
      <c r="P9" s="65">
        <v>127.5</v>
      </c>
      <c r="R9" s="66" t="s">
        <v>255</v>
      </c>
      <c r="S9" s="67">
        <v>11.5</v>
      </c>
      <c r="T9" s="67">
        <v>0.5</v>
      </c>
      <c r="U9" s="67">
        <v>1</v>
      </c>
      <c r="V9" s="67">
        <v>1.5</v>
      </c>
      <c r="W9" s="67">
        <v>26.5</v>
      </c>
      <c r="X9" s="67">
        <v>2.5</v>
      </c>
      <c r="Y9" s="67">
        <v>14.2</v>
      </c>
      <c r="Z9" s="68">
        <v>57.7</v>
      </c>
    </row>
    <row r="10" spans="2:26" ht="15" thickBot="1" x14ac:dyDescent="0.35">
      <c r="B10" s="62" t="s">
        <v>261</v>
      </c>
      <c r="C10" s="64">
        <v>127.5</v>
      </c>
      <c r="D10" s="63"/>
      <c r="E10" s="64">
        <v>3.5</v>
      </c>
      <c r="F10" s="64">
        <v>10</v>
      </c>
      <c r="G10" s="63"/>
      <c r="H10" s="63"/>
      <c r="I10" s="63"/>
      <c r="J10" s="63"/>
      <c r="K10" s="63"/>
      <c r="L10" s="63"/>
      <c r="M10" s="63"/>
      <c r="N10" s="63"/>
      <c r="O10" s="63"/>
      <c r="P10" s="65">
        <v>141</v>
      </c>
    </row>
    <row r="11" spans="2:26" ht="15" thickBot="1" x14ac:dyDescent="0.35">
      <c r="B11" s="62" t="s">
        <v>262</v>
      </c>
      <c r="C11" s="64">
        <v>23</v>
      </c>
      <c r="D11" s="63"/>
      <c r="E11" s="63"/>
      <c r="F11" s="64">
        <v>1.5</v>
      </c>
      <c r="G11" s="63"/>
      <c r="H11" s="63"/>
      <c r="I11" s="63"/>
      <c r="J11" s="63"/>
      <c r="K11" s="63"/>
      <c r="L11" s="63"/>
      <c r="M11" s="63"/>
      <c r="N11" s="63"/>
      <c r="O11" s="63"/>
      <c r="P11" s="65">
        <v>24.5</v>
      </c>
    </row>
    <row r="12" spans="2:26" ht="27.6" thickBot="1" x14ac:dyDescent="0.35">
      <c r="B12" s="66" t="s">
        <v>255</v>
      </c>
      <c r="C12" s="67">
        <v>399.25</v>
      </c>
      <c r="D12" s="67">
        <v>2</v>
      </c>
      <c r="E12" s="67">
        <v>10.5</v>
      </c>
      <c r="F12" s="67">
        <v>113.25</v>
      </c>
      <c r="G12" s="67">
        <v>3</v>
      </c>
      <c r="H12" s="67">
        <v>19</v>
      </c>
      <c r="I12" s="67">
        <v>0.5</v>
      </c>
      <c r="J12" s="67">
        <v>7.75</v>
      </c>
      <c r="K12" s="67">
        <v>15</v>
      </c>
      <c r="L12" s="67">
        <v>6</v>
      </c>
      <c r="M12" s="67">
        <v>5</v>
      </c>
      <c r="N12" s="67">
        <v>1</v>
      </c>
      <c r="O12" s="67">
        <v>17.25</v>
      </c>
      <c r="P12" s="68">
        <v>599.5</v>
      </c>
    </row>
    <row r="13" spans="2:26" ht="15" thickTop="1" x14ac:dyDescent="0.3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1AF28-7372-444D-91A7-37265839CC11}">
  <dimension ref="C1:J44"/>
  <sheetViews>
    <sheetView workbookViewId="0">
      <selection activeCell="I9" sqref="I9"/>
    </sheetView>
  </sheetViews>
  <sheetFormatPr defaultRowHeight="14.4" x14ac:dyDescent="0.3"/>
  <cols>
    <col min="3" max="3" width="45" customWidth="1"/>
    <col min="4" max="4" width="13.5546875" style="72" bestFit="1" customWidth="1"/>
    <col min="7" max="7" width="11.21875" customWidth="1"/>
    <col min="8" max="8" width="31.6640625" bestFit="1" customWidth="1"/>
    <col min="10" max="10" width="36.44140625" bestFit="1" customWidth="1"/>
  </cols>
  <sheetData>
    <row r="1" spans="3:10" x14ac:dyDescent="0.3">
      <c r="C1" s="1" t="s">
        <v>276</v>
      </c>
      <c r="G1" s="1" t="s">
        <v>277</v>
      </c>
    </row>
    <row r="2" spans="3:10" x14ac:dyDescent="0.3">
      <c r="G2" s="40"/>
      <c r="H2" s="40"/>
      <c r="I2" s="40"/>
      <c r="J2" s="40"/>
    </row>
    <row r="3" spans="3:10" x14ac:dyDescent="0.3">
      <c r="C3" s="73" t="s">
        <v>278</v>
      </c>
      <c r="D3" s="105">
        <v>132406.84</v>
      </c>
      <c r="G3" s="73" t="s">
        <v>279</v>
      </c>
      <c r="H3" s="73" t="s">
        <v>178</v>
      </c>
      <c r="I3" s="73" t="s">
        <v>280</v>
      </c>
      <c r="J3" s="73" t="s">
        <v>281</v>
      </c>
    </row>
    <row r="4" spans="3:10" x14ac:dyDescent="0.3">
      <c r="C4" s="74" t="s">
        <v>282</v>
      </c>
      <c r="D4" s="105">
        <v>41800</v>
      </c>
      <c r="G4" s="40" t="s">
        <v>283</v>
      </c>
      <c r="H4" s="40" t="s">
        <v>284</v>
      </c>
      <c r="I4" s="40">
        <v>1355</v>
      </c>
      <c r="J4" s="40" t="s">
        <v>285</v>
      </c>
    </row>
    <row r="5" spans="3:10" x14ac:dyDescent="0.3">
      <c r="C5" s="74" t="s">
        <v>73</v>
      </c>
      <c r="D5" s="105">
        <v>46412.549999999996</v>
      </c>
      <c r="G5" s="40"/>
      <c r="H5" s="40"/>
      <c r="I5" s="40"/>
      <c r="J5" s="40"/>
    </row>
    <row r="6" spans="3:10" x14ac:dyDescent="0.3">
      <c r="C6" s="74" t="s">
        <v>286</v>
      </c>
      <c r="D6" s="41">
        <v>44194.29</v>
      </c>
      <c r="G6" s="40"/>
      <c r="H6" s="40"/>
      <c r="I6" s="40"/>
      <c r="J6" s="40"/>
    </row>
    <row r="7" spans="3:10" x14ac:dyDescent="0.3">
      <c r="C7" s="40"/>
      <c r="D7" s="41"/>
      <c r="G7" s="73" t="s">
        <v>279</v>
      </c>
      <c r="H7" s="73" t="s">
        <v>178</v>
      </c>
      <c r="I7" s="73" t="s">
        <v>280</v>
      </c>
      <c r="J7" s="73" t="s">
        <v>281</v>
      </c>
    </row>
    <row r="8" spans="3:10" x14ac:dyDescent="0.3">
      <c r="C8" s="40"/>
      <c r="D8" s="41"/>
      <c r="G8" s="40" t="s">
        <v>287</v>
      </c>
      <c r="H8" s="40" t="s">
        <v>288</v>
      </c>
      <c r="I8" s="40" t="s">
        <v>415</v>
      </c>
      <c r="J8" s="40" t="s">
        <v>289</v>
      </c>
    </row>
    <row r="9" spans="3:10" x14ac:dyDescent="0.3">
      <c r="C9" s="75" t="s">
        <v>180</v>
      </c>
      <c r="D9" s="41">
        <v>11914.8</v>
      </c>
      <c r="G9" s="40" t="s">
        <v>287</v>
      </c>
      <c r="H9" s="40" t="s">
        <v>290</v>
      </c>
      <c r="I9" s="40" t="s">
        <v>415</v>
      </c>
      <c r="J9" s="40" t="s">
        <v>291</v>
      </c>
    </row>
    <row r="10" spans="3:10" x14ac:dyDescent="0.3">
      <c r="C10" s="75" t="s">
        <v>181</v>
      </c>
      <c r="D10" s="76">
        <v>19703.940000000002</v>
      </c>
      <c r="G10" s="40" t="s">
        <v>287</v>
      </c>
      <c r="H10" s="40" t="s">
        <v>292</v>
      </c>
      <c r="I10" s="40" t="s">
        <v>415</v>
      </c>
      <c r="J10" s="40" t="s">
        <v>293</v>
      </c>
    </row>
    <row r="11" spans="3:10" x14ac:dyDescent="0.3">
      <c r="C11" s="75" t="s">
        <v>182</v>
      </c>
      <c r="D11" s="76">
        <v>2625</v>
      </c>
      <c r="G11" s="40" t="s">
        <v>287</v>
      </c>
      <c r="H11" s="40" t="s">
        <v>294</v>
      </c>
      <c r="I11" s="40" t="s">
        <v>415</v>
      </c>
      <c r="J11" s="40" t="s">
        <v>295</v>
      </c>
    </row>
    <row r="12" spans="3:10" x14ac:dyDescent="0.3">
      <c r="C12" s="75" t="s">
        <v>183</v>
      </c>
      <c r="D12" s="76">
        <v>1664.01</v>
      </c>
      <c r="G12" s="40" t="s">
        <v>287</v>
      </c>
      <c r="H12" s="40" t="s">
        <v>296</v>
      </c>
      <c r="I12" s="40" t="s">
        <v>415</v>
      </c>
      <c r="J12" s="40"/>
    </row>
    <row r="13" spans="3:10" x14ac:dyDescent="0.3">
      <c r="C13" s="77" t="s">
        <v>184</v>
      </c>
      <c r="D13" s="76">
        <v>34497.75</v>
      </c>
      <c r="G13" s="40"/>
      <c r="H13" s="40" t="s">
        <v>168</v>
      </c>
      <c r="I13" s="40">
        <f>SUM(I8:I12)</f>
        <v>0</v>
      </c>
      <c r="J13" s="40"/>
    </row>
    <row r="14" spans="3:10" x14ac:dyDescent="0.3">
      <c r="C14" s="77" t="s">
        <v>185</v>
      </c>
      <c r="D14" s="76">
        <v>23529.359999999997</v>
      </c>
    </row>
    <row r="15" spans="3:10" x14ac:dyDescent="0.3">
      <c r="C15" s="75"/>
      <c r="D15" s="76"/>
      <c r="G15" s="73" t="s">
        <v>279</v>
      </c>
      <c r="H15" s="73" t="s">
        <v>178</v>
      </c>
      <c r="I15" s="73" t="s">
        <v>280</v>
      </c>
      <c r="J15" s="73" t="s">
        <v>281</v>
      </c>
    </row>
    <row r="16" spans="3:10" ht="28.8" x14ac:dyDescent="0.3">
      <c r="C16" s="75" t="s">
        <v>186</v>
      </c>
      <c r="D16" s="76">
        <v>38800</v>
      </c>
      <c r="G16" s="40" t="s">
        <v>297</v>
      </c>
      <c r="H16" s="40" t="s">
        <v>298</v>
      </c>
      <c r="I16" s="40">
        <v>10000</v>
      </c>
      <c r="J16" s="40" t="s">
        <v>299</v>
      </c>
    </row>
    <row r="17" spans="3:10" x14ac:dyDescent="0.3">
      <c r="C17" s="77" t="s">
        <v>184</v>
      </c>
      <c r="D17" s="76">
        <v>0</v>
      </c>
      <c r="G17" s="40" t="s">
        <v>297</v>
      </c>
      <c r="H17" s="40" t="s">
        <v>300</v>
      </c>
      <c r="I17" s="40">
        <v>0</v>
      </c>
      <c r="J17" s="40" t="s">
        <v>301</v>
      </c>
    </row>
    <row r="18" spans="3:10" x14ac:dyDescent="0.3">
      <c r="C18" s="77" t="s">
        <v>185</v>
      </c>
      <c r="D18" s="76">
        <v>19227.109999999997</v>
      </c>
      <c r="G18" s="40" t="s">
        <v>297</v>
      </c>
      <c r="H18" s="40" t="s">
        <v>302</v>
      </c>
      <c r="I18" s="40">
        <v>300</v>
      </c>
      <c r="J18" s="40" t="s">
        <v>303</v>
      </c>
    </row>
    <row r="19" spans="3:10" x14ac:dyDescent="0.3">
      <c r="C19" s="77"/>
      <c r="D19" s="76"/>
      <c r="G19" s="40" t="s">
        <v>297</v>
      </c>
      <c r="H19" s="40" t="s">
        <v>304</v>
      </c>
      <c r="I19" s="40">
        <v>300</v>
      </c>
      <c r="J19" s="40" t="s">
        <v>303</v>
      </c>
    </row>
    <row r="20" spans="3:10" ht="28.8" x14ac:dyDescent="0.3">
      <c r="C20" s="75" t="s">
        <v>187</v>
      </c>
      <c r="D20" s="76">
        <v>1355</v>
      </c>
      <c r="G20" s="40" t="s">
        <v>297</v>
      </c>
      <c r="H20" s="40" t="s">
        <v>305</v>
      </c>
      <c r="I20" s="40">
        <v>100</v>
      </c>
      <c r="J20" s="40" t="s">
        <v>306</v>
      </c>
    </row>
    <row r="21" spans="3:10" x14ac:dyDescent="0.3">
      <c r="C21" s="77" t="s">
        <v>184</v>
      </c>
      <c r="D21" s="76">
        <v>35852.75</v>
      </c>
      <c r="G21" s="40"/>
      <c r="H21" s="40" t="s">
        <v>168</v>
      </c>
      <c r="I21" s="40">
        <f>SUM(I16:I20)</f>
        <v>10700</v>
      </c>
      <c r="J21" s="40"/>
    </row>
    <row r="22" spans="3:10" x14ac:dyDescent="0.3">
      <c r="C22" s="77" t="s">
        <v>185</v>
      </c>
      <c r="D22" s="76">
        <v>22174.359999999997</v>
      </c>
    </row>
    <row r="23" spans="3:10" x14ac:dyDescent="0.3">
      <c r="G23" s="73" t="s">
        <v>307</v>
      </c>
      <c r="H23" s="73" t="s">
        <v>178</v>
      </c>
      <c r="I23" s="73" t="s">
        <v>280</v>
      </c>
      <c r="J23" s="73" t="s">
        <v>281</v>
      </c>
    </row>
    <row r="24" spans="3:10" x14ac:dyDescent="0.3">
      <c r="G24" s="40" t="s">
        <v>308</v>
      </c>
      <c r="H24" s="40" t="s">
        <v>309</v>
      </c>
      <c r="I24" s="40">
        <v>500</v>
      </c>
      <c r="J24" s="40" t="s">
        <v>303</v>
      </c>
    </row>
    <row r="25" spans="3:10" x14ac:dyDescent="0.3">
      <c r="G25" s="40" t="s">
        <v>308</v>
      </c>
      <c r="H25" s="40" t="s">
        <v>310</v>
      </c>
      <c r="I25" s="40">
        <v>10000</v>
      </c>
      <c r="J25" s="40" t="s">
        <v>303</v>
      </c>
    </row>
    <row r="26" spans="3:10" x14ac:dyDescent="0.3">
      <c r="G26" s="40" t="s">
        <v>308</v>
      </c>
      <c r="H26" s="40" t="s">
        <v>311</v>
      </c>
      <c r="I26" s="40">
        <v>0</v>
      </c>
      <c r="J26" s="40" t="s">
        <v>303</v>
      </c>
    </row>
    <row r="27" spans="3:10" x14ac:dyDescent="0.3">
      <c r="G27" s="40" t="s">
        <v>308</v>
      </c>
      <c r="H27" s="40" t="s">
        <v>312</v>
      </c>
      <c r="I27" s="40">
        <v>2000</v>
      </c>
      <c r="J27" s="40" t="s">
        <v>303</v>
      </c>
    </row>
    <row r="28" spans="3:10" x14ac:dyDescent="0.3">
      <c r="G28" s="40" t="s">
        <v>308</v>
      </c>
      <c r="H28" s="40" t="s">
        <v>304</v>
      </c>
      <c r="I28" s="40">
        <v>300</v>
      </c>
      <c r="J28" s="40" t="s">
        <v>303</v>
      </c>
    </row>
    <row r="29" spans="3:10" x14ac:dyDescent="0.3">
      <c r="G29" s="40" t="s">
        <v>308</v>
      </c>
      <c r="H29" s="40" t="s">
        <v>313</v>
      </c>
      <c r="I29" s="40">
        <v>3000</v>
      </c>
      <c r="J29" s="40" t="s">
        <v>295</v>
      </c>
    </row>
    <row r="30" spans="3:10" x14ac:dyDescent="0.3">
      <c r="G30" s="40" t="s">
        <v>308</v>
      </c>
      <c r="H30" s="40" t="s">
        <v>314</v>
      </c>
      <c r="I30" s="40">
        <v>50</v>
      </c>
      <c r="J30" s="40" t="s">
        <v>315</v>
      </c>
    </row>
    <row r="31" spans="3:10" x14ac:dyDescent="0.3">
      <c r="G31" s="40" t="s">
        <v>308</v>
      </c>
      <c r="H31" s="40" t="s">
        <v>316</v>
      </c>
      <c r="I31" s="40">
        <v>1000</v>
      </c>
      <c r="J31" s="40" t="s">
        <v>303</v>
      </c>
    </row>
    <row r="32" spans="3:10" x14ac:dyDescent="0.3">
      <c r="G32" s="40" t="s">
        <v>308</v>
      </c>
      <c r="H32" s="40" t="s">
        <v>317</v>
      </c>
      <c r="I32" s="40">
        <v>1000</v>
      </c>
      <c r="J32" s="40" t="s">
        <v>303</v>
      </c>
    </row>
    <row r="33" spans="7:10" x14ac:dyDescent="0.3">
      <c r="G33" s="40" t="s">
        <v>308</v>
      </c>
      <c r="H33" s="40" t="s">
        <v>318</v>
      </c>
      <c r="I33" s="40">
        <v>2000</v>
      </c>
      <c r="J33" s="40" t="s">
        <v>303</v>
      </c>
    </row>
    <row r="34" spans="7:10" x14ac:dyDescent="0.3">
      <c r="G34" s="40" t="s">
        <v>308</v>
      </c>
      <c r="H34" s="40" t="s">
        <v>319</v>
      </c>
      <c r="I34" s="78">
        <v>3620</v>
      </c>
      <c r="J34" s="40" t="s">
        <v>303</v>
      </c>
    </row>
    <row r="35" spans="7:10" x14ac:dyDescent="0.3">
      <c r="G35" s="40"/>
      <c r="H35" s="40" t="s">
        <v>168</v>
      </c>
      <c r="I35" s="40">
        <f>SUM(I24:I34)</f>
        <v>23470</v>
      </c>
      <c r="J35" s="40"/>
    </row>
    <row r="37" spans="7:10" x14ac:dyDescent="0.3">
      <c r="G37" s="73" t="s">
        <v>320</v>
      </c>
      <c r="H37" s="73" t="s">
        <v>178</v>
      </c>
      <c r="I37" s="73" t="s">
        <v>280</v>
      </c>
      <c r="J37" s="73" t="s">
        <v>281</v>
      </c>
    </row>
    <row r="38" spans="7:10" x14ac:dyDescent="0.3">
      <c r="G38" s="40"/>
      <c r="H38" s="40"/>
      <c r="I38" s="40"/>
      <c r="J38" s="40"/>
    </row>
    <row r="39" spans="7:10" x14ac:dyDescent="0.3">
      <c r="G39" s="40"/>
      <c r="H39" s="40"/>
      <c r="I39" s="40"/>
      <c r="J39" s="40"/>
    </row>
    <row r="40" spans="7:10" x14ac:dyDescent="0.3">
      <c r="G40" s="40"/>
      <c r="H40" s="40"/>
      <c r="I40" s="40"/>
      <c r="J40" s="40"/>
    </row>
    <row r="41" spans="7:10" x14ac:dyDescent="0.3">
      <c r="G41" s="40"/>
      <c r="H41" s="40"/>
      <c r="I41" s="40"/>
      <c r="J41" s="40"/>
    </row>
    <row r="42" spans="7:10" x14ac:dyDescent="0.3">
      <c r="G42" s="40"/>
      <c r="H42" s="40"/>
      <c r="I42" s="40"/>
      <c r="J42" s="40"/>
    </row>
    <row r="43" spans="7:10" x14ac:dyDescent="0.3">
      <c r="G43" s="40"/>
      <c r="H43" s="40"/>
      <c r="I43" s="40"/>
      <c r="J43" s="40"/>
    </row>
    <row r="44" spans="7:10" x14ac:dyDescent="0.3">
      <c r="G44" s="40"/>
      <c r="H44" s="40"/>
      <c r="I44" s="40"/>
      <c r="J44" s="4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89DA5-3738-4D43-9774-DD4A395C8B67}">
  <dimension ref="A1:I30"/>
  <sheetViews>
    <sheetView topLeftCell="A11" workbookViewId="0">
      <selection activeCell="E25" sqref="E25"/>
    </sheetView>
  </sheetViews>
  <sheetFormatPr defaultRowHeight="14.4" x14ac:dyDescent="0.3"/>
  <cols>
    <col min="3" max="3" width="44.21875" style="79" customWidth="1"/>
    <col min="4" max="4" width="9.33203125" customWidth="1"/>
    <col min="5" max="5" width="14.6640625" bestFit="1" customWidth="1"/>
    <col min="6" max="6" width="52.21875" bestFit="1" customWidth="1"/>
    <col min="8" max="8" width="34.77734375" customWidth="1"/>
    <col min="9" max="9" width="11.44140625" bestFit="1" customWidth="1"/>
  </cols>
  <sheetData>
    <row r="1" spans="1:9" ht="15" thickBot="1" x14ac:dyDescent="0.35">
      <c r="A1" t="s">
        <v>371</v>
      </c>
    </row>
    <row r="2" spans="1:9" ht="15" thickBot="1" x14ac:dyDescent="0.35">
      <c r="A2" s="40"/>
      <c r="B2" s="80" t="s">
        <v>321</v>
      </c>
      <c r="C2" s="80" t="s">
        <v>178</v>
      </c>
      <c r="D2" s="81" t="s">
        <v>322</v>
      </c>
      <c r="E2" s="81" t="s">
        <v>280</v>
      </c>
      <c r="F2" s="81" t="s">
        <v>281</v>
      </c>
      <c r="H2" s="82" t="s">
        <v>323</v>
      </c>
    </row>
    <row r="3" spans="1:9" ht="15" thickBot="1" x14ac:dyDescent="0.35">
      <c r="A3" s="40"/>
      <c r="B3" s="83"/>
      <c r="C3" s="83"/>
      <c r="D3" s="84"/>
      <c r="E3" s="84"/>
      <c r="F3" s="85"/>
      <c r="H3" s="86" t="s">
        <v>324</v>
      </c>
      <c r="I3" s="87">
        <v>11914.8</v>
      </c>
    </row>
    <row r="4" spans="1:9" ht="28.2" thickBot="1" x14ac:dyDescent="0.35">
      <c r="A4" s="40" t="s">
        <v>73</v>
      </c>
      <c r="B4" s="83" t="s">
        <v>325</v>
      </c>
      <c r="C4" s="83" t="s">
        <v>326</v>
      </c>
      <c r="D4" s="84" t="s">
        <v>327</v>
      </c>
      <c r="E4" s="101" t="s">
        <v>415</v>
      </c>
      <c r="F4" s="84" t="s">
        <v>328</v>
      </c>
      <c r="H4" s="86" t="s">
        <v>329</v>
      </c>
      <c r="I4" s="87">
        <v>19703.940000000002</v>
      </c>
    </row>
    <row r="5" spans="1:9" ht="28.2" thickBot="1" x14ac:dyDescent="0.35">
      <c r="A5" s="40" t="s">
        <v>73</v>
      </c>
      <c r="B5" s="83" t="s">
        <v>330</v>
      </c>
      <c r="C5" s="83" t="s">
        <v>331</v>
      </c>
      <c r="D5" s="84" t="s">
        <v>235</v>
      </c>
      <c r="E5" s="101" t="s">
        <v>415</v>
      </c>
      <c r="F5" s="84" t="s">
        <v>332</v>
      </c>
      <c r="H5" s="86" t="s">
        <v>404</v>
      </c>
      <c r="I5" s="87">
        <v>2625</v>
      </c>
    </row>
    <row r="6" spans="1:9" ht="28.2" thickBot="1" x14ac:dyDescent="0.35">
      <c r="A6" s="40" t="s">
        <v>73</v>
      </c>
      <c r="B6" s="83" t="s">
        <v>330</v>
      </c>
      <c r="C6" s="83" t="s">
        <v>333</v>
      </c>
      <c r="D6" s="84" t="s">
        <v>327</v>
      </c>
      <c r="E6" s="101" t="s">
        <v>415</v>
      </c>
      <c r="F6" s="84" t="s">
        <v>328</v>
      </c>
    </row>
    <row r="7" spans="1:9" ht="15" thickBot="1" x14ac:dyDescent="0.35">
      <c r="A7" s="40" t="s">
        <v>73</v>
      </c>
      <c r="B7" s="83" t="s">
        <v>334</v>
      </c>
      <c r="C7" s="83" t="s">
        <v>335</v>
      </c>
      <c r="D7" s="84" t="s">
        <v>336</v>
      </c>
      <c r="E7" s="101" t="s">
        <v>415</v>
      </c>
      <c r="F7" s="84" t="s">
        <v>332</v>
      </c>
    </row>
    <row r="8" spans="1:9" ht="15" thickBot="1" x14ac:dyDescent="0.35">
      <c r="A8" s="40"/>
      <c r="B8" s="88"/>
      <c r="C8" s="88"/>
      <c r="D8" s="89"/>
      <c r="E8" s="89"/>
      <c r="F8" s="84"/>
    </row>
    <row r="10" spans="1:9" ht="15" thickBot="1" x14ac:dyDescent="0.35"/>
    <row r="11" spans="1:9" ht="28.2" thickBot="1" x14ac:dyDescent="0.35">
      <c r="A11" s="40"/>
      <c r="B11" s="40"/>
      <c r="C11" s="90" t="s">
        <v>178</v>
      </c>
      <c r="D11" s="40"/>
      <c r="E11" s="91" t="s">
        <v>337</v>
      </c>
      <c r="F11" s="91" t="s">
        <v>281</v>
      </c>
    </row>
    <row r="12" spans="1:9" ht="15" thickBot="1" x14ac:dyDescent="0.35">
      <c r="A12" s="40" t="s">
        <v>338</v>
      </c>
      <c r="B12" s="40"/>
      <c r="C12" s="92" t="s">
        <v>339</v>
      </c>
      <c r="D12" s="40"/>
      <c r="E12" s="102">
        <f>7*6</f>
        <v>42</v>
      </c>
      <c r="F12" s="85"/>
    </row>
    <row r="13" spans="1:9" ht="15" thickBot="1" x14ac:dyDescent="0.35">
      <c r="A13" s="40" t="s">
        <v>338</v>
      </c>
      <c r="B13" s="40"/>
      <c r="C13" s="92" t="s">
        <v>340</v>
      </c>
      <c r="D13" s="40"/>
      <c r="E13" s="102">
        <v>445</v>
      </c>
      <c r="F13" s="85" t="s">
        <v>341</v>
      </c>
    </row>
    <row r="14" spans="1:9" ht="15" thickBot="1" x14ac:dyDescent="0.35">
      <c r="A14" s="40" t="s">
        <v>338</v>
      </c>
      <c r="B14" s="40"/>
      <c r="C14" s="92" t="s">
        <v>342</v>
      </c>
      <c r="D14" s="40"/>
      <c r="E14" s="103" t="s">
        <v>415</v>
      </c>
      <c r="F14" s="85"/>
    </row>
    <row r="15" spans="1:9" ht="15" thickBot="1" x14ac:dyDescent="0.35">
      <c r="A15" s="40" t="s">
        <v>338</v>
      </c>
      <c r="B15" s="40"/>
      <c r="C15" s="92" t="s">
        <v>343</v>
      </c>
      <c r="D15" s="40"/>
      <c r="E15" s="103">
        <v>0</v>
      </c>
      <c r="F15" s="85" t="s">
        <v>344</v>
      </c>
      <c r="G15" s="93" t="s">
        <v>345</v>
      </c>
    </row>
    <row r="16" spans="1:9" ht="15" thickBot="1" x14ac:dyDescent="0.35">
      <c r="A16" s="40" t="s">
        <v>338</v>
      </c>
      <c r="B16" s="40"/>
      <c r="C16" s="92" t="s">
        <v>346</v>
      </c>
      <c r="D16" s="40"/>
      <c r="E16" s="103" t="s">
        <v>415</v>
      </c>
      <c r="F16" s="85" t="s">
        <v>344</v>
      </c>
      <c r="G16" s="93" t="s">
        <v>347</v>
      </c>
    </row>
    <row r="17" spans="1:6" ht="15" thickBot="1" x14ac:dyDescent="0.35">
      <c r="A17" s="40" t="s">
        <v>338</v>
      </c>
      <c r="B17" s="40"/>
      <c r="C17" s="92" t="s">
        <v>348</v>
      </c>
      <c r="D17" s="40"/>
      <c r="E17" s="103" t="s">
        <v>415</v>
      </c>
      <c r="F17" s="85" t="s">
        <v>344</v>
      </c>
    </row>
    <row r="18" spans="1:6" ht="15" thickBot="1" x14ac:dyDescent="0.35">
      <c r="A18" s="40" t="s">
        <v>338</v>
      </c>
      <c r="B18" s="40"/>
      <c r="C18" s="92" t="s">
        <v>34</v>
      </c>
      <c r="D18" s="40"/>
      <c r="E18" s="102">
        <f>8*6</f>
        <v>48</v>
      </c>
      <c r="F18" s="85" t="s">
        <v>349</v>
      </c>
    </row>
    <row r="19" spans="1:6" ht="15" thickBot="1" x14ac:dyDescent="0.35">
      <c r="A19" s="40" t="s">
        <v>338</v>
      </c>
      <c r="B19" s="40"/>
      <c r="C19" s="92" t="s">
        <v>38</v>
      </c>
      <c r="D19" s="40"/>
      <c r="E19" s="102">
        <f>333</f>
        <v>333</v>
      </c>
      <c r="F19" s="85" t="s">
        <v>350</v>
      </c>
    </row>
    <row r="20" spans="1:6" ht="15" thickBot="1" x14ac:dyDescent="0.35">
      <c r="A20" s="40" t="s">
        <v>338</v>
      </c>
      <c r="B20" s="40"/>
      <c r="C20" s="92" t="s">
        <v>351</v>
      </c>
      <c r="D20" s="40"/>
      <c r="E20" s="102">
        <f>25*7</f>
        <v>175</v>
      </c>
      <c r="F20" s="85" t="s">
        <v>352</v>
      </c>
    </row>
    <row r="21" spans="1:6" ht="15" thickBot="1" x14ac:dyDescent="0.35">
      <c r="A21" s="40" t="s">
        <v>338</v>
      </c>
      <c r="B21" s="40"/>
      <c r="C21" s="92" t="s">
        <v>353</v>
      </c>
      <c r="D21" s="40"/>
      <c r="E21" s="102">
        <f>713.75*2</f>
        <v>1427.5</v>
      </c>
      <c r="F21" s="85"/>
    </row>
    <row r="22" spans="1:6" ht="15" thickBot="1" x14ac:dyDescent="0.35">
      <c r="A22" s="40" t="s">
        <v>338</v>
      </c>
      <c r="B22" s="40"/>
      <c r="C22" s="92" t="s">
        <v>354</v>
      </c>
      <c r="D22" s="40"/>
      <c r="E22" s="102">
        <v>325</v>
      </c>
      <c r="F22" s="85" t="s">
        <v>303</v>
      </c>
    </row>
    <row r="23" spans="1:6" ht="15" thickBot="1" x14ac:dyDescent="0.35">
      <c r="A23" s="40" t="s">
        <v>338</v>
      </c>
      <c r="B23" s="40"/>
      <c r="C23" s="92" t="s">
        <v>355</v>
      </c>
      <c r="D23" s="40"/>
      <c r="E23" s="102">
        <v>1000</v>
      </c>
      <c r="F23" s="85" t="s">
        <v>303</v>
      </c>
    </row>
    <row r="24" spans="1:6" ht="15" thickBot="1" x14ac:dyDescent="0.35">
      <c r="A24" s="40" t="s">
        <v>338</v>
      </c>
      <c r="B24" s="40"/>
      <c r="C24" s="92" t="s">
        <v>356</v>
      </c>
      <c r="D24" s="40"/>
      <c r="E24" s="102">
        <v>80</v>
      </c>
      <c r="F24" s="85" t="s">
        <v>357</v>
      </c>
    </row>
    <row r="25" spans="1:6" ht="15" thickBot="1" x14ac:dyDescent="0.35">
      <c r="A25" s="40" t="s">
        <v>338</v>
      </c>
      <c r="B25" s="40"/>
      <c r="C25" s="92" t="s">
        <v>358</v>
      </c>
      <c r="D25" s="40"/>
      <c r="E25" s="102">
        <f>61+50</f>
        <v>111</v>
      </c>
      <c r="F25" s="85" t="s">
        <v>359</v>
      </c>
    </row>
    <row r="26" spans="1:6" ht="15" thickBot="1" x14ac:dyDescent="0.35">
      <c r="A26" s="40" t="s">
        <v>338</v>
      </c>
      <c r="B26" s="40"/>
      <c r="C26" s="92" t="s">
        <v>360</v>
      </c>
      <c r="D26" s="40"/>
      <c r="E26" s="102">
        <v>100</v>
      </c>
      <c r="F26" s="85" t="s">
        <v>361</v>
      </c>
    </row>
    <row r="27" spans="1:6" ht="15" thickBot="1" x14ac:dyDescent="0.35">
      <c r="A27" s="40" t="s">
        <v>338</v>
      </c>
      <c r="B27" s="40"/>
      <c r="C27" s="92" t="s">
        <v>362</v>
      </c>
      <c r="D27" s="40"/>
      <c r="E27" s="103" t="s">
        <v>415</v>
      </c>
      <c r="F27" s="85" t="s">
        <v>363</v>
      </c>
    </row>
    <row r="28" spans="1:6" ht="15" thickBot="1" x14ac:dyDescent="0.35">
      <c r="A28" s="40" t="s">
        <v>338</v>
      </c>
      <c r="B28" s="40"/>
      <c r="C28" s="94" t="s">
        <v>364</v>
      </c>
      <c r="D28" s="40"/>
      <c r="E28" s="103" t="s">
        <v>415</v>
      </c>
      <c r="F28" s="95"/>
    </row>
    <row r="29" spans="1:6" ht="15" thickBot="1" x14ac:dyDescent="0.35">
      <c r="A29" s="40" t="s">
        <v>338</v>
      </c>
      <c r="B29" s="40"/>
      <c r="C29" s="94" t="s">
        <v>413</v>
      </c>
      <c r="D29" s="40"/>
      <c r="E29" s="102">
        <v>80</v>
      </c>
      <c r="F29" s="95"/>
    </row>
    <row r="30" spans="1:6" ht="15" thickBot="1" x14ac:dyDescent="0.35">
      <c r="C30" s="96" t="s">
        <v>168</v>
      </c>
      <c r="D30" s="40"/>
      <c r="E30" s="97">
        <v>22328.940000000002</v>
      </c>
      <c r="F30" s="85"/>
    </row>
  </sheetData>
  <hyperlinks>
    <hyperlink ref="G16" r:id="rId1" xr:uid="{02201FFD-3458-4A24-9418-1EE49DE55405}"/>
    <hyperlink ref="G15" r:id="rId2" xr:uid="{3E482F3B-6C02-4EF6-AC3A-4CBE50411F2E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44B98-9C96-4180-96AA-8A6E4AD71809}">
  <dimension ref="B1:C8"/>
  <sheetViews>
    <sheetView workbookViewId="0">
      <selection activeCell="C6" sqref="C6"/>
    </sheetView>
  </sheetViews>
  <sheetFormatPr defaultRowHeight="14.4" x14ac:dyDescent="0.3"/>
  <cols>
    <col min="2" max="2" width="33" customWidth="1"/>
    <col min="3" max="3" width="9.88671875" bestFit="1" customWidth="1"/>
  </cols>
  <sheetData>
    <row r="1" spans="2:3" x14ac:dyDescent="0.3">
      <c r="B1" t="s">
        <v>365</v>
      </c>
    </row>
    <row r="2" spans="2:3" ht="15" thickBot="1" x14ac:dyDescent="0.35"/>
    <row r="3" spans="2:3" ht="15" thickBot="1" x14ac:dyDescent="0.35">
      <c r="B3" s="98" t="s">
        <v>178</v>
      </c>
      <c r="C3" s="91" t="s">
        <v>366</v>
      </c>
    </row>
    <row r="4" spans="2:3" ht="15" thickBot="1" x14ac:dyDescent="0.35">
      <c r="B4" s="99" t="s">
        <v>367</v>
      </c>
      <c r="C4" s="102">
        <f>50*6</f>
        <v>300</v>
      </c>
    </row>
    <row r="5" spans="2:3" ht="15" thickBot="1" x14ac:dyDescent="0.35">
      <c r="B5" s="99" t="s">
        <v>368</v>
      </c>
      <c r="C5" s="106">
        <f>'VAT Claim'!F4</f>
        <v>524.01</v>
      </c>
    </row>
    <row r="6" spans="2:3" ht="15" thickBot="1" x14ac:dyDescent="0.35">
      <c r="B6" s="99" t="s">
        <v>369</v>
      </c>
      <c r="C6" s="103">
        <f>420+420</f>
        <v>840</v>
      </c>
    </row>
    <row r="7" spans="2:3" ht="15" thickBot="1" x14ac:dyDescent="0.35">
      <c r="B7" s="99" t="s">
        <v>325</v>
      </c>
      <c r="C7" s="104"/>
    </row>
    <row r="8" spans="2:3" ht="15" thickBot="1" x14ac:dyDescent="0.35">
      <c r="B8" s="100" t="s">
        <v>370</v>
      </c>
      <c r="C8" s="97">
        <f>SUM(C4:C7)</f>
        <v>1664.01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Summary</vt:lpstr>
      <vt:lpstr>I &amp; E 26 to 27</vt:lpstr>
      <vt:lpstr>CIL Report</vt:lpstr>
      <vt:lpstr>VAT Claim</vt:lpstr>
      <vt:lpstr>Monthly Reconcilitation</vt:lpstr>
      <vt:lpstr>Forecast</vt:lpstr>
      <vt:lpstr>Timesheet</vt:lpstr>
      <vt:lpstr>Forecast Calcs</vt:lpstr>
      <vt:lpstr>Outgoing</vt:lpstr>
      <vt:lpstr>Income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 Barnett</dc:creator>
  <cp:lastModifiedBy>Parish Clerk</cp:lastModifiedBy>
  <dcterms:created xsi:type="dcterms:W3CDTF">2026-09-12T12:43:31Z</dcterms:created>
  <dcterms:modified xsi:type="dcterms:W3CDTF">2026-10-13T10:14:22Z</dcterms:modified>
</cp:coreProperties>
</file>