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tchworth Parish\Documents\BPC\Meeting Papers\2026-27\Sep 26\conf\"/>
    </mc:Choice>
  </mc:AlternateContent>
  <xr:revisionPtr revIDLastSave="0" documentId="13_ncr:1_{2760A97C-2BFD-445C-93D7-3FBA66B95805}" xr6:coauthVersionLast="47" xr6:coauthVersionMax="47" xr10:uidLastSave="{00000000-0000-0000-0000-000000000000}"/>
  <bookViews>
    <workbookView xWindow="-108" yWindow="-108" windowWidth="23256" windowHeight="12456" xr2:uid="{A891BED1-C2B3-4D57-9E17-DCD71461DD21}"/>
  </bookViews>
  <sheets>
    <sheet name="Summary" sheetId="6" r:id="rId1"/>
    <sheet name="I &amp; E 26 to 27" sheetId="2" r:id="rId2"/>
    <sheet name="CIL Report" sheetId="1" r:id="rId3"/>
    <sheet name="VAT Claim" sheetId="3" r:id="rId4"/>
    <sheet name="Monthly Reconcilitation" sheetId="4" r:id="rId5"/>
    <sheet name="Forecast" sheetId="5" r:id="rId6"/>
  </sheets>
  <definedNames>
    <definedName name="AccountNames">#REF!</definedName>
    <definedName name="ExpenditureAllocations">#REF!</definedName>
    <definedName name="IncomeAllocations">#REF!</definedName>
    <definedName name="StartPeriodBalanc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6" l="1"/>
  <c r="B9" i="6"/>
  <c r="B11" i="6"/>
  <c r="B10" i="6"/>
  <c r="C8" i="6"/>
  <c r="B8" i="6"/>
  <c r="C6" i="6"/>
  <c r="B6" i="6"/>
  <c r="C5" i="6"/>
  <c r="B5" i="6"/>
  <c r="B3" i="6"/>
  <c r="C3" i="6"/>
  <c r="I36" i="2"/>
  <c r="H36" i="2" s="1"/>
  <c r="C12" i="2"/>
  <c r="B3" i="2"/>
  <c r="C5" i="5"/>
  <c r="C4" i="5"/>
  <c r="C3" i="5"/>
  <c r="I8" i="1"/>
  <c r="C10" i="2" s="1"/>
  <c r="J5" i="1"/>
  <c r="J6" i="1"/>
  <c r="J4" i="1"/>
  <c r="C112" i="2"/>
  <c r="F103" i="2"/>
  <c r="D103" i="2"/>
  <c r="C91" i="2"/>
  <c r="I91" i="2" s="1"/>
  <c r="H91" i="2" s="1"/>
  <c r="C86" i="2"/>
  <c r="E86" i="2" s="1"/>
  <c r="C72" i="2"/>
  <c r="E72" i="2" s="1"/>
  <c r="C61" i="2"/>
  <c r="I61" i="2" s="1"/>
  <c r="H61" i="2" s="1"/>
  <c r="C52" i="2"/>
  <c r="E52" i="2" s="1"/>
  <c r="C25" i="2"/>
  <c r="I25" i="2" s="1"/>
  <c r="H25" i="2" s="1"/>
  <c r="C26" i="2"/>
  <c r="I26" i="2" s="1"/>
  <c r="H26" i="2" s="1"/>
  <c r="C98" i="2"/>
  <c r="C99" i="2" s="1"/>
  <c r="I102" i="2"/>
  <c r="H102" i="2" s="1"/>
  <c r="I97" i="2"/>
  <c r="I96" i="2"/>
  <c r="H96" i="2" s="1"/>
  <c r="I95" i="2"/>
  <c r="H95" i="2" s="1"/>
  <c r="I94" i="2"/>
  <c r="H94" i="2" s="1"/>
  <c r="I90" i="2"/>
  <c r="H90" i="2" s="1"/>
  <c r="I89" i="2"/>
  <c r="H89" i="2" s="1"/>
  <c r="I85" i="2"/>
  <c r="H85" i="2" s="1"/>
  <c r="I84" i="2"/>
  <c r="H84" i="2" s="1"/>
  <c r="I83" i="2"/>
  <c r="I82" i="2"/>
  <c r="H82" i="2" s="1"/>
  <c r="I81" i="2"/>
  <c r="H81" i="2" s="1"/>
  <c r="I80" i="2"/>
  <c r="H80" i="2" s="1"/>
  <c r="I79" i="2"/>
  <c r="H79" i="2" s="1"/>
  <c r="I78" i="2"/>
  <c r="H78" i="2" s="1"/>
  <c r="I77" i="2"/>
  <c r="H77" i="2" s="1"/>
  <c r="I76" i="2"/>
  <c r="H76" i="2" s="1"/>
  <c r="I75" i="2"/>
  <c r="I71" i="2"/>
  <c r="H71" i="2" s="1"/>
  <c r="I70" i="2"/>
  <c r="H70" i="2" s="1"/>
  <c r="I69" i="2"/>
  <c r="H69" i="2" s="1"/>
  <c r="I68" i="2"/>
  <c r="H68" i="2" s="1"/>
  <c r="I67" i="2"/>
  <c r="H67" i="2" s="1"/>
  <c r="I66" i="2"/>
  <c r="H66" i="2" s="1"/>
  <c r="I65" i="2"/>
  <c r="H65" i="2" s="1"/>
  <c r="I64" i="2"/>
  <c r="H64" i="2" s="1"/>
  <c r="I63" i="2"/>
  <c r="H63" i="2" s="1"/>
  <c r="I62" i="2"/>
  <c r="H62" i="2" s="1"/>
  <c r="I60" i="2"/>
  <c r="H60" i="2" s="1"/>
  <c r="I59" i="2"/>
  <c r="H59" i="2" s="1"/>
  <c r="I58" i="2"/>
  <c r="H58" i="2" s="1"/>
  <c r="I57" i="2"/>
  <c r="H57" i="2" s="1"/>
  <c r="I56" i="2"/>
  <c r="H56" i="2" s="1"/>
  <c r="I51" i="2"/>
  <c r="H51" i="2" s="1"/>
  <c r="I50" i="2"/>
  <c r="H50" i="2" s="1"/>
  <c r="I49" i="2"/>
  <c r="H49" i="2" s="1"/>
  <c r="I48" i="2"/>
  <c r="H48" i="2" s="1"/>
  <c r="I47" i="2"/>
  <c r="H47" i="2" s="1"/>
  <c r="I46" i="2"/>
  <c r="H46" i="2" s="1"/>
  <c r="I45" i="2"/>
  <c r="H45" i="2" s="1"/>
  <c r="I44" i="2"/>
  <c r="H44" i="2" s="1"/>
  <c r="I43" i="2"/>
  <c r="H43" i="2" s="1"/>
  <c r="I42" i="2"/>
  <c r="H42" i="2" s="1"/>
  <c r="I41" i="2"/>
  <c r="H41" i="2" s="1"/>
  <c r="I40" i="2"/>
  <c r="H40" i="2" s="1"/>
  <c r="I39" i="2"/>
  <c r="H39" i="2" s="1"/>
  <c r="I34" i="2"/>
  <c r="H34" i="2" s="1"/>
  <c r="I33" i="2"/>
  <c r="H33" i="2" s="1"/>
  <c r="I30" i="2"/>
  <c r="H30" i="2" s="1"/>
  <c r="I17" i="2"/>
  <c r="H17" i="2" s="1"/>
  <c r="I18" i="2"/>
  <c r="H18" i="2" s="1"/>
  <c r="I19" i="2"/>
  <c r="H19" i="2" s="1"/>
  <c r="I20" i="2"/>
  <c r="H20" i="2" s="1"/>
  <c r="I21" i="2"/>
  <c r="H21" i="2" s="1"/>
  <c r="I22" i="2"/>
  <c r="H22" i="2" s="1"/>
  <c r="I23" i="2"/>
  <c r="H23" i="2" s="1"/>
  <c r="I24" i="2"/>
  <c r="H24" i="2" s="1"/>
  <c r="H75" i="2"/>
  <c r="H83" i="2"/>
  <c r="H97" i="2"/>
  <c r="H29" i="2"/>
  <c r="H27" i="2"/>
  <c r="H28" i="2"/>
  <c r="E19" i="2"/>
  <c r="I16" i="2"/>
  <c r="H16" i="2" s="1"/>
  <c r="E102" i="2"/>
  <c r="E97" i="2"/>
  <c r="E96" i="2"/>
  <c r="E95" i="2"/>
  <c r="E94" i="2"/>
  <c r="E90" i="2"/>
  <c r="E89" i="2"/>
  <c r="E85" i="2"/>
  <c r="E84" i="2"/>
  <c r="E83" i="2"/>
  <c r="E82" i="2"/>
  <c r="E81" i="2"/>
  <c r="E80" i="2"/>
  <c r="E79" i="2"/>
  <c r="E78" i="2"/>
  <c r="E77" i="2"/>
  <c r="E76" i="2"/>
  <c r="E75" i="2"/>
  <c r="E71" i="2"/>
  <c r="E70" i="2"/>
  <c r="E69" i="2"/>
  <c r="E68" i="2"/>
  <c r="E67" i="2"/>
  <c r="E66" i="2"/>
  <c r="E65" i="2"/>
  <c r="E64" i="2"/>
  <c r="E61" i="2"/>
  <c r="E60" i="2"/>
  <c r="E59" i="2"/>
  <c r="E58" i="2"/>
  <c r="E57" i="2"/>
  <c r="E56" i="2"/>
  <c r="E40" i="2"/>
  <c r="E41" i="2"/>
  <c r="E42" i="2"/>
  <c r="E43" i="2"/>
  <c r="E44" i="2"/>
  <c r="E45" i="2"/>
  <c r="E46" i="2"/>
  <c r="E47" i="2"/>
  <c r="E48" i="2"/>
  <c r="E49" i="2"/>
  <c r="E50" i="2"/>
  <c r="E51" i="2"/>
  <c r="E39" i="2"/>
  <c r="E20" i="2"/>
  <c r="E21" i="2"/>
  <c r="E22" i="2"/>
  <c r="E23" i="2"/>
  <c r="E24" i="2"/>
  <c r="E16" i="2"/>
  <c r="E17" i="2"/>
  <c r="E18" i="2"/>
  <c r="D12" i="2"/>
  <c r="F7" i="1"/>
  <c r="C6" i="5" l="1"/>
  <c r="C113" i="2"/>
  <c r="C114" i="2"/>
  <c r="C115" i="2" s="1"/>
  <c r="E91" i="2"/>
  <c r="E98" i="2"/>
  <c r="E25" i="2"/>
  <c r="C103" i="2"/>
  <c r="E103" i="2" s="1"/>
  <c r="I98" i="2"/>
  <c r="H98" i="2" s="1"/>
  <c r="E26" i="2"/>
  <c r="C107" i="2"/>
  <c r="E99" i="2"/>
  <c r="I99" i="2"/>
  <c r="H99" i="2" s="1"/>
  <c r="C104" i="2"/>
  <c r="C11" i="6" s="1"/>
  <c r="I72" i="2"/>
  <c r="H72" i="2" s="1"/>
  <c r="I86" i="2"/>
  <c r="H86" i="2" s="1"/>
  <c r="I52" i="2"/>
  <c r="H52" i="2" s="1"/>
  <c r="C11" i="2"/>
  <c r="I9" i="1"/>
  <c r="B16" i="4"/>
  <c r="E11" i="4"/>
  <c r="E6" i="4"/>
  <c r="E9" i="4"/>
  <c r="B9" i="4"/>
  <c r="J3" i="1"/>
  <c r="C108" i="2" l="1"/>
  <c r="C10" i="6"/>
  <c r="C106" i="2"/>
  <c r="E106" i="2" s="1"/>
  <c r="E104" i="2"/>
  <c r="I103" i="2"/>
  <c r="H103" i="2" s="1"/>
  <c r="C105" i="2"/>
  <c r="E105" i="2" s="1"/>
  <c r="I104" i="2"/>
  <c r="H104" i="2" s="1"/>
  <c r="E13" i="4"/>
  <c r="E21" i="4" s="1"/>
  <c r="E22" i="4" s="1"/>
  <c r="E23" i="4" s="1"/>
  <c r="I105" i="2" l="1"/>
  <c r="H105" i="2" s="1"/>
</calcChain>
</file>

<file path=xl/sharedStrings.xml><?xml version="1.0" encoding="utf-8"?>
<sst xmlns="http://schemas.openxmlformats.org/spreadsheetml/2006/main" count="252" uniqueCount="234">
  <si>
    <t>RECEIPTS</t>
  </si>
  <si>
    <t>2026/2027</t>
  </si>
  <si>
    <t>2025/2026</t>
  </si>
  <si>
    <t>Comments</t>
  </si>
  <si>
    <t>Code</t>
  </si>
  <si>
    <t>Actual</t>
  </si>
  <si>
    <t>Budget</t>
  </si>
  <si>
    <t>YTD %</t>
  </si>
  <si>
    <t>Allotment Income</t>
  </si>
  <si>
    <t>Bank Interest</t>
  </si>
  <si>
    <t>Burial ground Income</t>
  </si>
  <si>
    <t>CIL Payments</t>
  </si>
  <si>
    <t>Concurrent Service Payment</t>
  </si>
  <si>
    <t>CT Support Scheme Payment</t>
  </si>
  <si>
    <t>Other Receipts</t>
  </si>
  <si>
    <t>Precept</t>
  </si>
  <si>
    <t>VAT Reclaim</t>
  </si>
  <si>
    <t>Total</t>
  </si>
  <si>
    <t>PAYMENTS</t>
  </si>
  <si>
    <t>Clerk Running Costs</t>
  </si>
  <si>
    <t>Clerks Salary</t>
  </si>
  <si>
    <t>Employee's Tax</t>
  </si>
  <si>
    <t>Employee's NI</t>
  </si>
  <si>
    <t>`</t>
  </si>
  <si>
    <t>Employers NI</t>
  </si>
  <si>
    <t>Pension Employer</t>
  </si>
  <si>
    <t>Pension Employee</t>
  </si>
  <si>
    <t>Total Clerk Running Costs</t>
  </si>
  <si>
    <t>General Council Running Costs</t>
  </si>
  <si>
    <t>Clerk Mileage</t>
  </si>
  <si>
    <t>Payroll admin expenses (external supplier)</t>
  </si>
  <si>
    <t>Office Expenses - Stationery</t>
  </si>
  <si>
    <t>Office Expenses - Postage</t>
  </si>
  <si>
    <t>Office Expenses - webhosting &amp; email</t>
  </si>
  <si>
    <t>Clerk Mobile</t>
  </si>
  <si>
    <t>Office Expenses - Software</t>
  </si>
  <si>
    <t>Office Expenses - IT Suppport (PC  &amp; Website)</t>
  </si>
  <si>
    <t xml:space="preserve">Training </t>
  </si>
  <si>
    <t>Audit</t>
  </si>
  <si>
    <t>Bank Charges</t>
  </si>
  <si>
    <t>Room Hire &amp; Expenses</t>
  </si>
  <si>
    <t>Insurance</t>
  </si>
  <si>
    <t>Revenue Expenditure</t>
  </si>
  <si>
    <t>Burial Ground &amp; Allotments</t>
  </si>
  <si>
    <t>Grass</t>
  </si>
  <si>
    <t>Pruning</t>
  </si>
  <si>
    <t>Fencing / Boundaries</t>
  </si>
  <si>
    <t>Annual Path Clearing &amp; Weedkilling</t>
  </si>
  <si>
    <t>General Maint</t>
  </si>
  <si>
    <t>Parish Amenities</t>
  </si>
  <si>
    <t>Goulburn Green Grass</t>
  </si>
  <si>
    <t>Goulburn Green Water</t>
  </si>
  <si>
    <t>Pruning &amp; Maint (Hedgerows/other)</t>
  </si>
  <si>
    <t>Footpath &amp; Adhoc Maint</t>
  </si>
  <si>
    <t>Defib Maint</t>
  </si>
  <si>
    <t>Village Store / Bus Shelter / Planting Maint</t>
  </si>
  <si>
    <t>Tree Replacement</t>
  </si>
  <si>
    <t>Play Area Checks</t>
  </si>
  <si>
    <t>Discretionary</t>
  </si>
  <si>
    <t xml:space="preserve">Subscriptions General </t>
  </si>
  <si>
    <t>SALC &amp; NALC</t>
  </si>
  <si>
    <t>Grit Provision</t>
  </si>
  <si>
    <t>Grant Awards</t>
  </si>
  <si>
    <t>Document Archiving</t>
  </si>
  <si>
    <t>Speed Survey</t>
  </si>
  <si>
    <t>Litter Pick Support</t>
  </si>
  <si>
    <t>Community Events</t>
  </si>
  <si>
    <t>Local support (s137)</t>
  </si>
  <si>
    <t>Additional Training BG, Clerk, Playground</t>
  </si>
  <si>
    <t>Website Upgrade</t>
  </si>
  <si>
    <t>Projects</t>
  </si>
  <si>
    <t>Facilities Improvements</t>
  </si>
  <si>
    <t>Burial Ground Expansion (Non-CIL)</t>
  </si>
  <si>
    <t>CIL</t>
  </si>
  <si>
    <t>Defibrillator Hamilton Room</t>
  </si>
  <si>
    <t>Traffic Calming</t>
  </si>
  <si>
    <t>Burial Ground Expansion (CIL)</t>
  </si>
  <si>
    <t>Scanner (Burial Ground Paperless)</t>
  </si>
  <si>
    <t>CIL Infrastructure Project</t>
  </si>
  <si>
    <t>VAT</t>
  </si>
  <si>
    <t>Total Payments Less Clerk Salary</t>
  </si>
  <si>
    <t>Receipts Less Payments</t>
  </si>
  <si>
    <t>Ring Fenced Elections &amp; Deposits</t>
  </si>
  <si>
    <t>Ring Fenced Legal &amp; Professional Costs</t>
  </si>
  <si>
    <t>Ring Fenced IT / Defibrillators</t>
  </si>
  <si>
    <t xml:space="preserve">Ring Fenced CIL Balance </t>
  </si>
  <si>
    <t>Total Ring fenced</t>
  </si>
  <si>
    <t>CIL Report</t>
  </si>
  <si>
    <t>Pot</t>
  </si>
  <si>
    <t>CIL TOTAL</t>
  </si>
  <si>
    <t>Expiry Date</t>
  </si>
  <si>
    <t>Spend to date</t>
  </si>
  <si>
    <t>Left to Spend</t>
  </si>
  <si>
    <t>MUST SPEND POT A BY 30/3/27</t>
  </si>
  <si>
    <t>A</t>
  </si>
  <si>
    <t>MUST SPEND POT B BY 30/3/27</t>
  </si>
  <si>
    <t>B</t>
  </si>
  <si>
    <t>C</t>
  </si>
  <si>
    <t>D</t>
  </si>
  <si>
    <t>MONTHLY RECONCILIATIONS</t>
  </si>
  <si>
    <t>August</t>
  </si>
  <si>
    <t>£</t>
  </si>
  <si>
    <t>Balance B/F</t>
  </si>
  <si>
    <t>Payments</t>
  </si>
  <si>
    <t>Income</t>
  </si>
  <si>
    <t>Bank balance from Accounts</t>
  </si>
  <si>
    <t>Total Accounts</t>
  </si>
  <si>
    <t>Difference</t>
  </si>
  <si>
    <t>Total not presented</t>
  </si>
  <si>
    <t>Accounts Total</t>
  </si>
  <si>
    <t>Balance C/F</t>
  </si>
  <si>
    <t>TOTAL TO SPEND BY 30/3/27</t>
  </si>
  <si>
    <t>INC001</t>
  </si>
  <si>
    <t>INC002</t>
  </si>
  <si>
    <t>INC003</t>
  </si>
  <si>
    <t>INC004</t>
  </si>
  <si>
    <t>INC005</t>
  </si>
  <si>
    <t>INC006</t>
  </si>
  <si>
    <t>INC007</t>
  </si>
  <si>
    <t>INC008</t>
  </si>
  <si>
    <t>INC009</t>
  </si>
  <si>
    <t>CL000</t>
  </si>
  <si>
    <t>CL014</t>
  </si>
  <si>
    <t>CL001</t>
  </si>
  <si>
    <t>CL002</t>
  </si>
  <si>
    <t>PL001</t>
  </si>
  <si>
    <t>PL002</t>
  </si>
  <si>
    <t>CL007</t>
  </si>
  <si>
    <t>CL011</t>
  </si>
  <si>
    <t>CL009</t>
  </si>
  <si>
    <t>CL008</t>
  </si>
  <si>
    <t>CL012</t>
  </si>
  <si>
    <t>CL006</t>
  </si>
  <si>
    <t>WE003</t>
  </si>
  <si>
    <t>WE004</t>
  </si>
  <si>
    <t>CL003</t>
  </si>
  <si>
    <t>CL004</t>
  </si>
  <si>
    <t>BA002</t>
  </si>
  <si>
    <t>CL005</t>
  </si>
  <si>
    <t>BA001</t>
  </si>
  <si>
    <t>BG001</t>
  </si>
  <si>
    <t>BG002</t>
  </si>
  <si>
    <t>BG005</t>
  </si>
  <si>
    <t>BG004</t>
  </si>
  <si>
    <t>BG003</t>
  </si>
  <si>
    <t>GG001</t>
  </si>
  <si>
    <t>GG002</t>
  </si>
  <si>
    <t>MA001</t>
  </si>
  <si>
    <t>MA002</t>
  </si>
  <si>
    <t>MA005</t>
  </si>
  <si>
    <t>MA007</t>
  </si>
  <si>
    <t>MA006</t>
  </si>
  <si>
    <t>GG003</t>
  </si>
  <si>
    <t>CL010</t>
  </si>
  <si>
    <t>CL013</t>
  </si>
  <si>
    <t>MA004</t>
  </si>
  <si>
    <t>OT15</t>
  </si>
  <si>
    <t>OT21</t>
  </si>
  <si>
    <t>OT003</t>
  </si>
  <si>
    <t>CO001</t>
  </si>
  <si>
    <t>S137</t>
  </si>
  <si>
    <t>AD250</t>
  </si>
  <si>
    <t>OT004</t>
  </si>
  <si>
    <t>OT005</t>
  </si>
  <si>
    <t>AD251</t>
  </si>
  <si>
    <t>AD255</t>
  </si>
  <si>
    <t>AD252</t>
  </si>
  <si>
    <t>AD256</t>
  </si>
  <si>
    <t>AD257</t>
  </si>
  <si>
    <t>AD258</t>
  </si>
  <si>
    <t>TOTAL</t>
  </si>
  <si>
    <t>TOTAL LEFT TO SPEND</t>
  </si>
  <si>
    <t xml:space="preserve"> £-   </t>
  </si>
  <si>
    <t>Receipts less Payments excluding CIL</t>
  </si>
  <si>
    <t xml:space="preserve">Reserve </t>
  </si>
  <si>
    <t>Cash available (General)</t>
  </si>
  <si>
    <t>Reserve (12months x avg monthly spend) e.g. if Locum needed</t>
  </si>
  <si>
    <t>Total Receipts to date</t>
  </si>
  <si>
    <t>Burial Ground Breakdown</t>
  </si>
  <si>
    <t>Spend - Salary</t>
  </si>
  <si>
    <t>Spend - excluding Salary</t>
  </si>
  <si>
    <t>VAT for the period 01/04/2026 - 31/08/2026 Claimed on 11/09/2026</t>
  </si>
  <si>
    <t>Item</t>
  </si>
  <si>
    <t>Total (ex VAT)</t>
  </si>
  <si>
    <t>Committed spend - CIL</t>
  </si>
  <si>
    <t>Committed spend - Other</t>
  </si>
  <si>
    <t>Training, maintenance, litterpick budget</t>
  </si>
  <si>
    <t>Forecast income</t>
  </si>
  <si>
    <t>Total CIL leftover</t>
  </si>
  <si>
    <t>Total cash leftover</t>
  </si>
  <si>
    <t>If we go ahead with Tranquil Woods purchase and initial setup</t>
  </si>
  <si>
    <t xml:space="preserve"> £                        -   </t>
  </si>
  <si>
    <t>If we don’t go ahead with Tranquil Woods purchase and initial setup</t>
  </si>
  <si>
    <t>Project</t>
  </si>
  <si>
    <t>Estimate (£ ex VAT)</t>
  </si>
  <si>
    <t>Tranquil Woods – Annual maintenance</t>
  </si>
  <si>
    <t>Tranquil Woods – year 1</t>
  </si>
  <si>
    <t>Tranquil Woods – year 2</t>
  </si>
  <si>
    <t>TBC</t>
  </si>
  <si>
    <t>Village Plan</t>
  </si>
  <si>
    <t>Burial Ground parking space</t>
  </si>
  <si>
    <t>Allotment fencing</t>
  </si>
  <si>
    <t>Defib at the Hamilton room</t>
  </si>
  <si>
    <t>School railings</t>
  </si>
  <si>
    <t>Flooding signs, depth marker posts and sensor bollard</t>
  </si>
  <si>
    <t>Track resurfacing by Burial Ground</t>
  </si>
  <si>
    <t>Arrow sign for the Burial Ground to help visitors find it</t>
  </si>
  <si>
    <t>Tarmac coffin path patch updates</t>
  </si>
  <si>
    <t>Village weather station</t>
  </si>
  <si>
    <t>TOTAL excluding Woodland</t>
  </si>
  <si>
    <t xml:space="preserve">Keeping reserve of </t>
  </si>
  <si>
    <r>
      <t>1.</t>
    </r>
    <r>
      <rPr>
        <b/>
        <sz val="12"/>
        <color rgb="FF000000"/>
        <rFont val="Times New Roman"/>
        <family val="1"/>
      </rPr>
      <t xml:space="preserve">     </t>
    </r>
    <r>
      <rPr>
        <b/>
        <sz val="12"/>
        <color rgb="FF000000"/>
        <rFont val="Aptos Display"/>
        <family val="2"/>
      </rPr>
      <t>Current Balance</t>
    </r>
  </si>
  <si>
    <r>
      <t>2.</t>
    </r>
    <r>
      <rPr>
        <b/>
        <sz val="11"/>
        <color rgb="FF000000"/>
        <rFont val="Times New Roman"/>
        <family val="1"/>
      </rPr>
      <t xml:space="preserve">   </t>
    </r>
    <r>
      <rPr>
        <b/>
        <sz val="11"/>
        <color rgb="FF000000"/>
        <rFont val="Arial"/>
        <family val="2"/>
      </rPr>
      <t>Forecast March 27 position</t>
    </r>
  </si>
  <si>
    <r>
      <t>3.</t>
    </r>
    <r>
      <rPr>
        <b/>
        <sz val="12"/>
        <color rgb="FF000000"/>
        <rFont val="Times New Roman"/>
        <family val="1"/>
      </rPr>
      <t xml:space="preserve">     </t>
    </r>
    <r>
      <rPr>
        <b/>
        <sz val="12"/>
        <color rgb="FF000000"/>
        <rFont val="Aptos Display"/>
        <family val="2"/>
      </rPr>
      <t>Future Projects</t>
    </r>
  </si>
  <si>
    <t>TOTAL inc Woodland</t>
  </si>
  <si>
    <t>Total excluding Precept</t>
  </si>
  <si>
    <t>HSBC Current Account</t>
  </si>
  <si>
    <t>HSBC Reserve Account</t>
  </si>
  <si>
    <t>Unity Account</t>
  </si>
  <si>
    <t>The balance of Council funds is</t>
  </si>
  <si>
    <t xml:space="preserve">Funds for CIL spend </t>
  </si>
  <si>
    <t xml:space="preserve">Funds for general spend. </t>
  </si>
  <si>
    <t>Current Bank Balance</t>
  </si>
  <si>
    <t>Bank Balance B/F 31/03/2026</t>
  </si>
  <si>
    <t>Total Receipts</t>
  </si>
  <si>
    <t>Total Payments inc CIL</t>
  </si>
  <si>
    <t>Total CIL Payments</t>
  </si>
  <si>
    <t>Total Projects Payments</t>
  </si>
  <si>
    <t>Total Discretionary Payments</t>
  </si>
  <si>
    <t>Total Parish Amenities Payments</t>
  </si>
  <si>
    <t>Total Burial Ground &amp; Allotments Payments</t>
  </si>
  <si>
    <t>Total  Council Running Costs Payments</t>
  </si>
  <si>
    <t>Monthly Finance Current Totals</t>
  </si>
  <si>
    <t>Total Payments excluding 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</si>
</sst>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&quot;£&quot;* #,##0_-;\-&quot;£&quot;* #,##0_-;_-&quot;£&quot;* &quot;-&quot;??_-;_-@_-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ptos Display"/>
      <family val="2"/>
    </font>
    <font>
      <b/>
      <sz val="11"/>
      <color rgb="FF000000"/>
      <name val="Times New Roman"/>
      <family val="1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44" fontId="0" fillId="0" borderId="0" xfId="2" applyFont="1"/>
    <xf numFmtId="44" fontId="0" fillId="2" borderId="0" xfId="2" applyFont="1" applyFill="1"/>
    <xf numFmtId="9" fontId="0" fillId="0" borderId="0" xfId="3" applyFont="1"/>
    <xf numFmtId="44" fontId="0" fillId="0" borderId="0" xfId="0" applyNumberFormat="1"/>
    <xf numFmtId="44" fontId="2" fillId="0" borderId="0" xfId="0" applyNumberFormat="1" applyFont="1"/>
    <xf numFmtId="9" fontId="2" fillId="0" borderId="0" xfId="3" applyFont="1"/>
    <xf numFmtId="44" fontId="2" fillId="0" borderId="0" xfId="2" applyFont="1"/>
    <xf numFmtId="0" fontId="3" fillId="0" borderId="0" xfId="0" applyFont="1"/>
    <xf numFmtId="44" fontId="3" fillId="0" borderId="0" xfId="2" applyFont="1" applyBorder="1"/>
    <xf numFmtId="0" fontId="4" fillId="0" borderId="0" xfId="0" applyFont="1"/>
    <xf numFmtId="44" fontId="0" fillId="0" borderId="1" xfId="0" applyNumberFormat="1" applyBorder="1"/>
    <xf numFmtId="44" fontId="6" fillId="4" borderId="3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/>
    <xf numFmtId="43" fontId="8" fillId="0" borderId="0" xfId="1" applyFont="1" applyAlignment="1">
      <alignment horizontal="center"/>
    </xf>
    <xf numFmtId="0" fontId="9" fillId="0" borderId="0" xfId="0" applyFont="1"/>
    <xf numFmtId="44" fontId="9" fillId="0" borderId="0" xfId="2" applyFont="1" applyAlignment="1">
      <alignment horizontal="right"/>
    </xf>
    <xf numFmtId="44" fontId="9" fillId="0" borderId="0" xfId="2" applyFont="1" applyFill="1" applyAlignment="1" applyProtection="1">
      <alignment horizontal="right"/>
    </xf>
    <xf numFmtId="43" fontId="8" fillId="0" borderId="0" xfId="1" applyFont="1"/>
    <xf numFmtId="44" fontId="8" fillId="0" borderId="4" xfId="2" applyFont="1" applyBorder="1"/>
    <xf numFmtId="43" fontId="0" fillId="0" borderId="0" xfId="0" applyNumberFormat="1"/>
    <xf numFmtId="44" fontId="8" fillId="0" borderId="0" xfId="2" applyFont="1"/>
    <xf numFmtId="44" fontId="9" fillId="5" borderId="0" xfId="2" applyFont="1" applyFill="1"/>
    <xf numFmtId="43" fontId="9" fillId="0" borderId="0" xfId="0" applyNumberFormat="1" applyFont="1"/>
    <xf numFmtId="43" fontId="9" fillId="0" borderId="0" xfId="1" applyFont="1"/>
    <xf numFmtId="0" fontId="9" fillId="0" borderId="0" xfId="0" quotePrefix="1" applyFont="1" applyAlignment="1">
      <alignment horizontal="right"/>
    </xf>
    <xf numFmtId="44" fontId="9" fillId="0" borderId="0" xfId="2" applyFont="1"/>
    <xf numFmtId="4" fontId="8" fillId="0" borderId="0" xfId="0" applyNumberFormat="1" applyFont="1"/>
    <xf numFmtId="0" fontId="10" fillId="0" borderId="0" xfId="0" applyFont="1"/>
    <xf numFmtId="4" fontId="0" fillId="0" borderId="0" xfId="0" applyNumberFormat="1"/>
    <xf numFmtId="43" fontId="8" fillId="0" borderId="5" xfId="1" applyFont="1" applyBorder="1"/>
    <xf numFmtId="0" fontId="2" fillId="6" borderId="0" xfId="0" applyFont="1" applyFill="1"/>
    <xf numFmtId="44" fontId="0" fillId="6" borderId="0" xfId="2" applyFont="1" applyFill="1"/>
    <xf numFmtId="44" fontId="2" fillId="6" borderId="0" xfId="0" applyNumberFormat="1" applyFont="1" applyFill="1"/>
    <xf numFmtId="0" fontId="0" fillId="6" borderId="0" xfId="0" applyFill="1"/>
    <xf numFmtId="44" fontId="2" fillId="6" borderId="0" xfId="2" applyFont="1" applyFill="1"/>
    <xf numFmtId="44" fontId="3" fillId="6" borderId="0" xfId="2" applyFont="1" applyFill="1"/>
    <xf numFmtId="0" fontId="0" fillId="3" borderId="0" xfId="0" applyFill="1"/>
    <xf numFmtId="14" fontId="0" fillId="0" borderId="0" xfId="0" applyNumberFormat="1"/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justify" vertical="center"/>
    </xf>
    <xf numFmtId="0" fontId="6" fillId="0" borderId="0" xfId="0" applyFont="1"/>
    <xf numFmtId="0" fontId="0" fillId="0" borderId="6" xfId="0" applyBorder="1"/>
    <xf numFmtId="164" fontId="0" fillId="0" borderId="6" xfId="2" applyNumberFormat="1" applyFont="1" applyBorder="1"/>
    <xf numFmtId="164" fontId="0" fillId="0" borderId="6" xfId="0" applyNumberFormat="1" applyBorder="1"/>
    <xf numFmtId="0" fontId="12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3" fontId="11" fillId="0" borderId="6" xfId="0" applyNumberFormat="1" applyFont="1" applyBorder="1" applyAlignment="1">
      <alignment vertical="center" wrapText="1"/>
    </xf>
    <xf numFmtId="0" fontId="12" fillId="0" borderId="6" xfId="0" applyFont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6" fontId="11" fillId="0" borderId="6" xfId="0" applyNumberFormat="1" applyFont="1" applyBorder="1" applyAlignment="1">
      <alignment horizontal="right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right" vertical="center" wrapText="1"/>
    </xf>
    <xf numFmtId="6" fontId="11" fillId="0" borderId="6" xfId="0" applyNumberFormat="1" applyFont="1" applyBorder="1" applyAlignment="1">
      <alignment vertical="center" wrapText="1"/>
    </xf>
    <xf numFmtId="44" fontId="1" fillId="0" borderId="0" xfId="2" applyFont="1"/>
    <xf numFmtId="0" fontId="2" fillId="0" borderId="0" xfId="0" applyFont="1" applyAlignment="1">
      <alignment horizontal="center"/>
    </xf>
    <xf numFmtId="0" fontId="5" fillId="4" borderId="2" xfId="0" applyFont="1" applyFill="1" applyBorder="1" applyAlignment="1">
      <alignment horizontal="right"/>
    </xf>
    <xf numFmtId="0" fontId="0" fillId="4" borderId="1" xfId="0" applyFill="1" applyBorder="1" applyAlignment="1">
      <alignment horizontal="right"/>
    </xf>
    <xf numFmtId="0" fontId="0" fillId="4" borderId="3" xfId="0" applyFill="1" applyBorder="1" applyAlignment="1">
      <alignment horizontal="right"/>
    </xf>
    <xf numFmtId="0" fontId="7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4990D-713E-4F3E-92F6-5C92F7DF3D9C}">
  <dimension ref="B1:C11"/>
  <sheetViews>
    <sheetView tabSelected="1" workbookViewId="0">
      <selection activeCell="E10" sqref="E10"/>
    </sheetView>
  </sheetViews>
  <sheetFormatPr defaultRowHeight="14.4" x14ac:dyDescent="0.3"/>
  <cols>
    <col min="2" max="2" width="30.88671875" customWidth="1"/>
    <col min="3" max="3" width="12.44140625" bestFit="1" customWidth="1"/>
  </cols>
  <sheetData>
    <row r="1" spans="2:3" x14ac:dyDescent="0.3">
      <c r="B1" s="1" t="s">
        <v>232</v>
      </c>
    </row>
    <row r="3" spans="2:3" x14ac:dyDescent="0.3">
      <c r="B3" t="str">
        <f>'I &amp; E 26 to 27'!A3</f>
        <v>Current Bank Balance</v>
      </c>
      <c r="C3" s="57">
        <f>'I &amp; E 26 to 27'!B3</f>
        <v>120754.64</v>
      </c>
    </row>
    <row r="5" spans="2:3" x14ac:dyDescent="0.3">
      <c r="B5" t="str">
        <f>'I &amp; E 26 to 27'!A10</f>
        <v xml:space="preserve">Ring Fenced CIL Balance </v>
      </c>
      <c r="C5" s="5">
        <f>'I &amp; E 26 to 27'!C10</f>
        <v>47767.55</v>
      </c>
    </row>
    <row r="6" spans="2:3" x14ac:dyDescent="0.3">
      <c r="B6" t="str">
        <f>'I &amp; E 26 to 27'!A12</f>
        <v>Cash available (General)</v>
      </c>
      <c r="C6" s="5">
        <f>'I &amp; E 26 to 27'!C12</f>
        <v>18987.089999999997</v>
      </c>
    </row>
    <row r="8" spans="2:3" x14ac:dyDescent="0.3">
      <c r="B8" t="str">
        <f>'I &amp; E 26 to 27'!A26</f>
        <v>Total Receipts</v>
      </c>
      <c r="C8" s="5">
        <f>'I &amp; E 26 to 27'!C26</f>
        <v>28790.53</v>
      </c>
    </row>
    <row r="9" spans="2:3" x14ac:dyDescent="0.3">
      <c r="B9" t="str">
        <f>'I &amp; E 26 to 27'!A99</f>
        <v>Total CIL Payments</v>
      </c>
      <c r="C9" s="5">
        <f>'I &amp; E 26 to 27'!C99</f>
        <v>8773.6</v>
      </c>
    </row>
    <row r="10" spans="2:3" x14ac:dyDescent="0.3">
      <c r="B10" t="str">
        <f>'I &amp; E 26 to 27'!A107</f>
        <v>Total Payments excluding CIL</v>
      </c>
      <c r="C10" s="5">
        <f>'I &amp; E 26 to 27'!C107</f>
        <v>23398.230000000003</v>
      </c>
    </row>
    <row r="11" spans="2:3" x14ac:dyDescent="0.3">
      <c r="B11" t="str">
        <f>'I &amp; E 26 to 27'!A104</f>
        <v>Total Payments inc CIL</v>
      </c>
      <c r="C11" s="5">
        <f>'I &amp; E 26 to 27'!C104</f>
        <v>32171.83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1C232-D275-48EA-BD8B-C5A4A3BEF46C}">
  <dimension ref="A2:K115"/>
  <sheetViews>
    <sheetView topLeftCell="A88" workbookViewId="0">
      <selection activeCell="A109" sqref="A109"/>
    </sheetView>
  </sheetViews>
  <sheetFormatPr defaultRowHeight="14.4" x14ac:dyDescent="0.3"/>
  <cols>
    <col min="1" max="1" width="64.44140625" bestFit="1" customWidth="1"/>
    <col min="2" max="2" width="17.33203125" customWidth="1"/>
    <col min="3" max="4" width="12.5546875" bestFit="1" customWidth="1"/>
    <col min="6" max="6" width="14.88671875" bestFit="1" customWidth="1"/>
    <col min="8" max="8" width="14.88671875" customWidth="1"/>
    <col min="9" max="9" width="12.5546875" customWidth="1"/>
  </cols>
  <sheetData>
    <row r="2" spans="1:9" x14ac:dyDescent="0.3">
      <c r="A2" s="1" t="s">
        <v>223</v>
      </c>
      <c r="B2" s="8">
        <v>126258.95999999999</v>
      </c>
    </row>
    <row r="3" spans="1:9" x14ac:dyDescent="0.3">
      <c r="A3" s="1" t="s">
        <v>222</v>
      </c>
      <c r="B3" s="8">
        <f>'Monthly Reconcilitation'!B16</f>
        <v>120754.64</v>
      </c>
    </row>
    <row r="4" spans="1:9" x14ac:dyDescent="0.3">
      <c r="A4" s="1"/>
      <c r="B4" s="8"/>
      <c r="C4" s="58" t="s">
        <v>1</v>
      </c>
      <c r="D4" s="58"/>
      <c r="E4" s="58"/>
    </row>
    <row r="5" spans="1:9" x14ac:dyDescent="0.3">
      <c r="A5" s="1" t="s">
        <v>174</v>
      </c>
      <c r="B5" s="8"/>
      <c r="C5" s="1" t="s">
        <v>5</v>
      </c>
      <c r="D5" s="1" t="s">
        <v>6</v>
      </c>
      <c r="E5" s="1"/>
    </row>
    <row r="6" spans="1:9" x14ac:dyDescent="0.3">
      <c r="A6" s="9" t="s">
        <v>82</v>
      </c>
      <c r="B6" s="10"/>
      <c r="C6" s="10">
        <v>2000</v>
      </c>
      <c r="D6" s="10">
        <v>15000</v>
      </c>
      <c r="E6" s="4"/>
    </row>
    <row r="7" spans="1:9" x14ac:dyDescent="0.3">
      <c r="A7" s="9" t="s">
        <v>83</v>
      </c>
      <c r="B7" s="10"/>
      <c r="C7" s="10">
        <v>2000</v>
      </c>
      <c r="D7" s="10">
        <v>5000</v>
      </c>
      <c r="E7" s="4"/>
    </row>
    <row r="8" spans="1:9" x14ac:dyDescent="0.3">
      <c r="A8" s="9" t="s">
        <v>84</v>
      </c>
      <c r="B8" s="10"/>
      <c r="C8" s="10">
        <v>0</v>
      </c>
      <c r="D8" s="10">
        <v>2000</v>
      </c>
      <c r="E8" s="4"/>
    </row>
    <row r="9" spans="1:9" x14ac:dyDescent="0.3">
      <c r="A9" s="9" t="s">
        <v>176</v>
      </c>
      <c r="B9" s="10"/>
      <c r="C9" s="10">
        <v>50000</v>
      </c>
      <c r="D9" s="10"/>
      <c r="E9" s="4"/>
    </row>
    <row r="10" spans="1:9" x14ac:dyDescent="0.3">
      <c r="A10" s="9" t="s">
        <v>85</v>
      </c>
      <c r="C10" s="5">
        <f>'CIL Report'!I8</f>
        <v>47767.55</v>
      </c>
      <c r="D10" s="10">
        <v>56853.17</v>
      </c>
      <c r="E10" s="4"/>
    </row>
    <row r="11" spans="1:9" x14ac:dyDescent="0.3">
      <c r="A11" s="11" t="s">
        <v>86</v>
      </c>
      <c r="C11" s="5">
        <f>SUM(C6:C10)</f>
        <v>101767.55</v>
      </c>
      <c r="D11" s="12">
        <v>78853.17</v>
      </c>
      <c r="E11" s="4"/>
    </row>
    <row r="12" spans="1:9" x14ac:dyDescent="0.3">
      <c r="A12" s="11" t="s">
        <v>175</v>
      </c>
      <c r="B12" s="6"/>
      <c r="C12" s="6">
        <f>B3-C11</f>
        <v>18987.089999999997</v>
      </c>
      <c r="D12" s="6">
        <f>B2-D11</f>
        <v>47405.789999999994</v>
      </c>
      <c r="E12" s="4"/>
    </row>
    <row r="14" spans="1:9" x14ac:dyDescent="0.3">
      <c r="A14" s="1" t="s">
        <v>0</v>
      </c>
      <c r="B14" s="1"/>
      <c r="C14" s="58" t="s">
        <v>1</v>
      </c>
      <c r="D14" s="58"/>
      <c r="E14" s="58"/>
      <c r="F14" s="33" t="s">
        <v>2</v>
      </c>
      <c r="H14" s="1" t="s">
        <v>3</v>
      </c>
    </row>
    <row r="15" spans="1:9" x14ac:dyDescent="0.3">
      <c r="B15" s="1" t="s">
        <v>4</v>
      </c>
      <c r="C15" s="1" t="s">
        <v>5</v>
      </c>
      <c r="D15" s="1" t="s">
        <v>6</v>
      </c>
      <c r="E15" s="1" t="s">
        <v>7</v>
      </c>
      <c r="F15" s="33" t="s">
        <v>5</v>
      </c>
    </row>
    <row r="16" spans="1:9" x14ac:dyDescent="0.3">
      <c r="A16" t="s">
        <v>8</v>
      </c>
      <c r="B16" t="s">
        <v>112</v>
      </c>
      <c r="C16" s="2">
        <v>280.54000000000002</v>
      </c>
      <c r="D16" s="3">
        <v>260</v>
      </c>
      <c r="E16" s="4">
        <f t="shared" ref="E16:E18" si="0">IF(IFERROR(C16/D16,0)=0,0,C16/D16)</f>
        <v>1.0790000000000002</v>
      </c>
      <c r="F16" s="34">
        <v>210</v>
      </c>
      <c r="H16" t="str">
        <f>IF(I16=0,"","Over budget by")</f>
        <v>Over budget by</v>
      </c>
      <c r="I16" s="5">
        <f>IF(IF((ISERROR(D16-C16&lt;0))=TRUE,0,-(D16-C16))&lt;0,0,IF((ISERROR(D16-C16&lt;0))=TRUE,0,-(D16-C16)))</f>
        <v>20.54000000000002</v>
      </c>
    </row>
    <row r="17" spans="1:11" x14ac:dyDescent="0.3">
      <c r="A17" t="s">
        <v>9</v>
      </c>
      <c r="B17" t="s">
        <v>113</v>
      </c>
      <c r="C17" s="2">
        <v>193.14</v>
      </c>
      <c r="D17" s="3">
        <v>500</v>
      </c>
      <c r="E17" s="4">
        <f t="shared" si="0"/>
        <v>0.38627999999999996</v>
      </c>
      <c r="F17" s="34">
        <v>680.35</v>
      </c>
      <c r="H17" t="str">
        <f t="shared" ref="H17:H80" si="1">IF(I17=0,"","Over budget by")</f>
        <v/>
      </c>
      <c r="I17" s="5">
        <f t="shared" ref="I17:I26" si="2">IF(IF((ISERROR(D17-C17&lt;0))=TRUE,0,-(D17-C17))&lt;0,0,IF((ISERROR(D17-C17&lt;0))=TRUE,0,-(D17-C17)))</f>
        <v>0</v>
      </c>
    </row>
    <row r="18" spans="1:11" x14ac:dyDescent="0.3">
      <c r="A18" t="s">
        <v>10</v>
      </c>
      <c r="B18" t="s">
        <v>114</v>
      </c>
      <c r="C18" s="2">
        <v>12040</v>
      </c>
      <c r="D18" s="3">
        <v>15000</v>
      </c>
      <c r="E18" s="4">
        <f t="shared" si="0"/>
        <v>0.80266666666666664</v>
      </c>
      <c r="F18" s="34">
        <v>21680</v>
      </c>
      <c r="H18" t="str">
        <f t="shared" si="1"/>
        <v/>
      </c>
      <c r="I18" s="5">
        <f t="shared" si="2"/>
        <v>0</v>
      </c>
    </row>
    <row r="19" spans="1:11" x14ac:dyDescent="0.3">
      <c r="A19" t="s">
        <v>11</v>
      </c>
      <c r="B19" t="s">
        <v>115</v>
      </c>
      <c r="C19" s="2" t="s">
        <v>172</v>
      </c>
      <c r="D19" s="3">
        <v>0</v>
      </c>
      <c r="E19" s="4">
        <f>IF(IFERROR(C19/D19,0)=0,0,C19/D19)</f>
        <v>0</v>
      </c>
      <c r="F19" s="34">
        <v>0</v>
      </c>
      <c r="H19" t="str">
        <f t="shared" si="1"/>
        <v/>
      </c>
      <c r="I19" s="5">
        <f t="shared" si="2"/>
        <v>0</v>
      </c>
    </row>
    <row r="20" spans="1:11" x14ac:dyDescent="0.3">
      <c r="A20" t="s">
        <v>12</v>
      </c>
      <c r="B20" t="s">
        <v>116</v>
      </c>
      <c r="C20" s="2">
        <v>1214.5</v>
      </c>
      <c r="D20" s="3">
        <v>2429</v>
      </c>
      <c r="E20" s="4">
        <f t="shared" ref="E20:E26" si="3">IF(IFERROR(C20/D20,0)=0,0,C20/D20)</f>
        <v>0.5</v>
      </c>
      <c r="F20" s="34">
        <v>2429</v>
      </c>
      <c r="H20" t="str">
        <f t="shared" si="1"/>
        <v/>
      </c>
      <c r="I20" s="5">
        <f t="shared" si="2"/>
        <v>0</v>
      </c>
    </row>
    <row r="21" spans="1:11" x14ac:dyDescent="0.3">
      <c r="A21" t="s">
        <v>13</v>
      </c>
      <c r="B21" t="s">
        <v>117</v>
      </c>
      <c r="C21" s="2">
        <v>338</v>
      </c>
      <c r="D21" s="3">
        <v>676</v>
      </c>
      <c r="E21" s="4">
        <f t="shared" si="3"/>
        <v>0.5</v>
      </c>
      <c r="F21" s="34">
        <v>676</v>
      </c>
      <c r="H21" t="str">
        <f t="shared" si="1"/>
        <v/>
      </c>
      <c r="I21" s="5">
        <f t="shared" si="2"/>
        <v>0</v>
      </c>
    </row>
    <row r="22" spans="1:11" x14ac:dyDescent="0.3">
      <c r="A22" t="s">
        <v>14</v>
      </c>
      <c r="B22" t="s">
        <v>118</v>
      </c>
      <c r="C22" s="2" t="s">
        <v>172</v>
      </c>
      <c r="D22" s="3">
        <v>0</v>
      </c>
      <c r="E22" s="4">
        <f t="shared" si="3"/>
        <v>0</v>
      </c>
      <c r="F22" s="34">
        <v>90</v>
      </c>
      <c r="H22" t="str">
        <f t="shared" si="1"/>
        <v/>
      </c>
      <c r="I22" s="5">
        <f t="shared" si="2"/>
        <v>0</v>
      </c>
    </row>
    <row r="23" spans="1:11" x14ac:dyDescent="0.3">
      <c r="A23" t="s">
        <v>15</v>
      </c>
      <c r="B23" t="s">
        <v>119</v>
      </c>
      <c r="C23" s="2">
        <v>14724.35</v>
      </c>
      <c r="D23" s="3">
        <v>29448.69</v>
      </c>
      <c r="E23" s="4">
        <f t="shared" si="3"/>
        <v>0.50000016978683948</v>
      </c>
      <c r="F23" s="34">
        <v>22652.84</v>
      </c>
      <c r="H23" t="str">
        <f t="shared" si="1"/>
        <v/>
      </c>
      <c r="I23" s="5">
        <f t="shared" si="2"/>
        <v>0</v>
      </c>
    </row>
    <row r="24" spans="1:11" x14ac:dyDescent="0.3">
      <c r="A24" t="s">
        <v>16</v>
      </c>
      <c r="B24" t="s">
        <v>120</v>
      </c>
      <c r="C24" s="2" t="s">
        <v>172</v>
      </c>
      <c r="D24" s="3">
        <v>4000</v>
      </c>
      <c r="E24" s="4">
        <f t="shared" si="3"/>
        <v>0</v>
      </c>
      <c r="F24" s="34">
        <v>4590.92</v>
      </c>
      <c r="H24" t="str">
        <f t="shared" si="1"/>
        <v/>
      </c>
      <c r="I24" s="5">
        <f t="shared" si="2"/>
        <v>0</v>
      </c>
    </row>
    <row r="25" spans="1:11" x14ac:dyDescent="0.3">
      <c r="A25" s="1" t="s">
        <v>215</v>
      </c>
      <c r="C25" s="2">
        <f>SUM(C16:C24)-C23</f>
        <v>14066.179999999998</v>
      </c>
      <c r="D25" s="2">
        <v>22865</v>
      </c>
      <c r="E25" s="4">
        <f t="shared" si="3"/>
        <v>0.61518390553247315</v>
      </c>
      <c r="F25" s="34">
        <v>30356.269999999997</v>
      </c>
      <c r="H25" t="str">
        <f t="shared" si="1"/>
        <v/>
      </c>
      <c r="I25" s="5">
        <f t="shared" si="2"/>
        <v>0</v>
      </c>
    </row>
    <row r="26" spans="1:11" x14ac:dyDescent="0.3">
      <c r="A26" s="1" t="s">
        <v>224</v>
      </c>
      <c r="B26" s="1"/>
      <c r="C26" s="8">
        <f>SUM(C16:C24)</f>
        <v>28790.53</v>
      </c>
      <c r="D26" s="6">
        <v>52313.69</v>
      </c>
      <c r="E26" s="7">
        <f t="shared" si="3"/>
        <v>0.55034408775217347</v>
      </c>
      <c r="F26" s="35">
        <v>53009.11</v>
      </c>
      <c r="H26" t="str">
        <f t="shared" si="1"/>
        <v/>
      </c>
      <c r="I26" s="5">
        <f t="shared" si="2"/>
        <v>0</v>
      </c>
    </row>
    <row r="27" spans="1:11" x14ac:dyDescent="0.3">
      <c r="F27" s="36"/>
      <c r="H27" t="str">
        <f t="shared" si="1"/>
        <v/>
      </c>
      <c r="I27" s="5"/>
    </row>
    <row r="28" spans="1:11" x14ac:dyDescent="0.3">
      <c r="A28" s="1" t="s">
        <v>18</v>
      </c>
      <c r="B28" s="1"/>
      <c r="F28" s="36"/>
      <c r="H28" t="str">
        <f t="shared" si="1"/>
        <v/>
      </c>
      <c r="I28" s="5"/>
    </row>
    <row r="29" spans="1:11" x14ac:dyDescent="0.3">
      <c r="A29" s="1" t="s">
        <v>19</v>
      </c>
      <c r="B29" s="1"/>
      <c r="F29" s="36"/>
      <c r="H29" t="str">
        <f>IF(I29=0,"","Over budget by")</f>
        <v/>
      </c>
      <c r="I29" s="5"/>
    </row>
    <row r="30" spans="1:11" x14ac:dyDescent="0.3">
      <c r="A30" t="s">
        <v>20</v>
      </c>
      <c r="B30" t="s">
        <v>121</v>
      </c>
      <c r="C30" s="2"/>
      <c r="D30" s="3"/>
      <c r="E30" s="4"/>
      <c r="F30" s="34"/>
      <c r="H30" t="str">
        <f t="shared" si="1"/>
        <v/>
      </c>
      <c r="I30" s="5">
        <f t="shared" ref="I30" si="4">IF(IF((ISERROR(D30-C30&lt;0))=TRUE,0,-(D30-C30))&lt;0,0,IF((ISERROR(D30-C30&lt;0))=TRUE,0,-(D30-C30)))</f>
        <v>0</v>
      </c>
    </row>
    <row r="31" spans="1:11" x14ac:dyDescent="0.3">
      <c r="A31" t="s">
        <v>21</v>
      </c>
      <c r="B31" t="s">
        <v>122</v>
      </c>
      <c r="C31" s="2"/>
      <c r="D31" s="3"/>
      <c r="E31" s="4"/>
      <c r="F31" s="34"/>
      <c r="I31" s="5"/>
    </row>
    <row r="32" spans="1:11" x14ac:dyDescent="0.3">
      <c r="A32" t="s">
        <v>22</v>
      </c>
      <c r="B32" t="s">
        <v>123</v>
      </c>
      <c r="C32" s="2"/>
      <c r="D32" s="3"/>
      <c r="E32" s="4"/>
      <c r="F32" s="34"/>
      <c r="I32" s="5"/>
      <c r="K32" t="s">
        <v>23</v>
      </c>
    </row>
    <row r="33" spans="1:9" x14ac:dyDescent="0.3">
      <c r="A33" t="s">
        <v>24</v>
      </c>
      <c r="B33" t="s">
        <v>124</v>
      </c>
      <c r="C33" s="2"/>
      <c r="D33" s="3"/>
      <c r="E33" s="4"/>
      <c r="F33" s="34"/>
      <c r="H33" t="str">
        <f t="shared" si="1"/>
        <v/>
      </c>
      <c r="I33" s="5">
        <f t="shared" ref="I33:I34" si="5">IF(IF((ISERROR(D33-C33&lt;0))=TRUE,0,-(D33-C33))&lt;0,0,IF((ISERROR(D33-C33&lt;0))=TRUE,0,-(D33-C33)))</f>
        <v>0</v>
      </c>
    </row>
    <row r="34" spans="1:9" x14ac:dyDescent="0.3">
      <c r="A34" t="s">
        <v>25</v>
      </c>
      <c r="B34" t="s">
        <v>125</v>
      </c>
      <c r="C34" s="2"/>
      <c r="D34" s="3"/>
      <c r="E34" s="4"/>
      <c r="F34" s="34"/>
      <c r="H34" t="str">
        <f t="shared" si="1"/>
        <v/>
      </c>
      <c r="I34" s="5">
        <f t="shared" si="5"/>
        <v>0</v>
      </c>
    </row>
    <row r="35" spans="1:9" x14ac:dyDescent="0.3">
      <c r="A35" t="s">
        <v>26</v>
      </c>
      <c r="B35" t="s">
        <v>126</v>
      </c>
      <c r="C35" s="2"/>
      <c r="D35" s="3"/>
      <c r="E35" s="4"/>
      <c r="F35" s="34"/>
      <c r="I35" s="5"/>
    </row>
    <row r="36" spans="1:9" x14ac:dyDescent="0.3">
      <c r="A36" s="1" t="s">
        <v>27</v>
      </c>
      <c r="C36" s="8">
        <v>11998.960000000001</v>
      </c>
      <c r="D36" s="8">
        <v>25080.18</v>
      </c>
      <c r="E36" s="7">
        <v>0.47842399855184453</v>
      </c>
      <c r="F36" s="35">
        <v>19750.820000000003</v>
      </c>
      <c r="H36" t="str">
        <f t="shared" si="1"/>
        <v/>
      </c>
      <c r="I36" s="5">
        <f t="shared" ref="I36" si="6">IF(IF((ISERROR(D36-C36&lt;0))=TRUE,0,-(D36-C36))&lt;0,0,IF((ISERROR(D36-C36&lt;0))=TRUE,0,-(D36-C36)))</f>
        <v>0</v>
      </c>
    </row>
    <row r="37" spans="1:9" x14ac:dyDescent="0.3">
      <c r="C37" s="2"/>
      <c r="E37" s="4"/>
      <c r="F37" s="36"/>
      <c r="I37" s="5"/>
    </row>
    <row r="38" spans="1:9" x14ac:dyDescent="0.3">
      <c r="A38" s="1" t="s">
        <v>28</v>
      </c>
      <c r="C38" s="2"/>
      <c r="E38" s="4"/>
      <c r="F38" s="36"/>
      <c r="I38" s="5"/>
    </row>
    <row r="39" spans="1:9" x14ac:dyDescent="0.3">
      <c r="A39" t="s">
        <v>29</v>
      </c>
      <c r="B39" t="s">
        <v>127</v>
      </c>
      <c r="C39" s="2">
        <v>258.12</v>
      </c>
      <c r="D39" s="3">
        <v>1200</v>
      </c>
      <c r="E39" s="4">
        <f t="shared" ref="E39:E52" si="7">IF(IFERROR(C39/D39,0)=0,0,C39/D39)</f>
        <v>0.21510000000000001</v>
      </c>
      <c r="F39" s="34">
        <v>1194.3</v>
      </c>
      <c r="H39" t="str">
        <f t="shared" si="1"/>
        <v/>
      </c>
      <c r="I39" s="5">
        <f t="shared" ref="I39:I52" si="8">IF(IF((ISERROR(D39-C39&lt;0))=TRUE,0,-(D39-C39))&lt;0,0,IF((ISERROR(D39-C39&lt;0))=TRUE,0,-(D39-C39)))</f>
        <v>0</v>
      </c>
    </row>
    <row r="40" spans="1:9" x14ac:dyDescent="0.3">
      <c r="A40" t="s">
        <v>30</v>
      </c>
      <c r="B40" t="s">
        <v>128</v>
      </c>
      <c r="C40" s="2">
        <v>287</v>
      </c>
      <c r="D40" s="3">
        <v>200</v>
      </c>
      <c r="E40" s="4">
        <f t="shared" si="7"/>
        <v>1.4350000000000001</v>
      </c>
      <c r="F40" s="34">
        <v>211</v>
      </c>
      <c r="H40" t="str">
        <f>IF(I40=0,"","Over budget by")</f>
        <v>Over budget by</v>
      </c>
      <c r="I40" s="5">
        <f t="shared" si="8"/>
        <v>87</v>
      </c>
    </row>
    <row r="41" spans="1:9" x14ac:dyDescent="0.3">
      <c r="A41" t="s">
        <v>31</v>
      </c>
      <c r="B41" t="s">
        <v>129</v>
      </c>
      <c r="C41" s="2">
        <v>62.78</v>
      </c>
      <c r="D41" s="3">
        <v>200</v>
      </c>
      <c r="E41" s="4">
        <f t="shared" si="7"/>
        <v>0.31390000000000001</v>
      </c>
      <c r="F41" s="34">
        <v>163.24</v>
      </c>
      <c r="H41" t="str">
        <f t="shared" si="1"/>
        <v/>
      </c>
      <c r="I41" s="5">
        <f t="shared" si="8"/>
        <v>0</v>
      </c>
    </row>
    <row r="42" spans="1:9" x14ac:dyDescent="0.3">
      <c r="A42" t="s">
        <v>32</v>
      </c>
      <c r="B42" t="s">
        <v>130</v>
      </c>
      <c r="C42" s="2">
        <v>10</v>
      </c>
      <c r="D42" s="3">
        <v>10</v>
      </c>
      <c r="E42" s="4">
        <f t="shared" si="7"/>
        <v>1</v>
      </c>
      <c r="F42" s="34">
        <v>6.8</v>
      </c>
      <c r="H42" t="str">
        <f t="shared" si="1"/>
        <v/>
      </c>
      <c r="I42" s="5">
        <f t="shared" si="8"/>
        <v>0</v>
      </c>
    </row>
    <row r="43" spans="1:9" x14ac:dyDescent="0.3">
      <c r="A43" t="s">
        <v>33</v>
      </c>
      <c r="B43" t="s">
        <v>131</v>
      </c>
      <c r="C43" s="2">
        <v>37.450000000000003</v>
      </c>
      <c r="D43" s="3">
        <v>0</v>
      </c>
      <c r="E43" s="4">
        <f t="shared" si="7"/>
        <v>0</v>
      </c>
      <c r="F43" s="34">
        <v>131.57</v>
      </c>
      <c r="H43" t="str">
        <f t="shared" si="1"/>
        <v>Over budget by</v>
      </c>
      <c r="I43" s="5">
        <f t="shared" si="8"/>
        <v>37.450000000000003</v>
      </c>
    </row>
    <row r="44" spans="1:9" x14ac:dyDescent="0.3">
      <c r="A44" t="s">
        <v>34</v>
      </c>
      <c r="B44" t="s">
        <v>132</v>
      </c>
      <c r="C44" s="2">
        <v>33.35</v>
      </c>
      <c r="D44" s="3">
        <v>150</v>
      </c>
      <c r="E44" s="4">
        <f t="shared" si="7"/>
        <v>0.22233333333333336</v>
      </c>
      <c r="F44" s="34">
        <v>79.360000000000014</v>
      </c>
      <c r="H44" t="str">
        <f t="shared" si="1"/>
        <v/>
      </c>
      <c r="I44" s="5">
        <f t="shared" si="8"/>
        <v>0</v>
      </c>
    </row>
    <row r="45" spans="1:9" x14ac:dyDescent="0.3">
      <c r="A45" t="s">
        <v>35</v>
      </c>
      <c r="B45" t="s">
        <v>133</v>
      </c>
      <c r="C45" s="2" t="s">
        <v>172</v>
      </c>
      <c r="D45" s="3">
        <v>0</v>
      </c>
      <c r="E45" s="4">
        <f t="shared" si="7"/>
        <v>0</v>
      </c>
      <c r="F45" s="34">
        <v>35</v>
      </c>
      <c r="H45" t="str">
        <f t="shared" si="1"/>
        <v/>
      </c>
      <c r="I45" s="5">
        <f t="shared" si="8"/>
        <v>0</v>
      </c>
    </row>
    <row r="46" spans="1:9" x14ac:dyDescent="0.3">
      <c r="A46" t="s">
        <v>36</v>
      </c>
      <c r="B46" t="s">
        <v>134</v>
      </c>
      <c r="C46" s="2">
        <v>70.83</v>
      </c>
      <c r="D46" s="3">
        <v>1000</v>
      </c>
      <c r="E46" s="4">
        <f t="shared" si="7"/>
        <v>7.0830000000000004E-2</v>
      </c>
      <c r="F46" s="34">
        <v>408.14</v>
      </c>
      <c r="H46" t="str">
        <f t="shared" si="1"/>
        <v/>
      </c>
      <c r="I46" s="5">
        <f t="shared" si="8"/>
        <v>0</v>
      </c>
    </row>
    <row r="47" spans="1:9" x14ac:dyDescent="0.3">
      <c r="A47" t="s">
        <v>37</v>
      </c>
      <c r="B47" t="s">
        <v>135</v>
      </c>
      <c r="C47" s="2">
        <v>245</v>
      </c>
      <c r="D47" s="3">
        <v>500</v>
      </c>
      <c r="E47" s="4">
        <f t="shared" si="7"/>
        <v>0.49</v>
      </c>
      <c r="F47" s="34">
        <v>255</v>
      </c>
      <c r="H47" t="str">
        <f t="shared" si="1"/>
        <v/>
      </c>
      <c r="I47" s="5">
        <f t="shared" si="8"/>
        <v>0</v>
      </c>
    </row>
    <row r="48" spans="1:9" x14ac:dyDescent="0.3">
      <c r="A48" t="s">
        <v>38</v>
      </c>
      <c r="B48" t="s">
        <v>136</v>
      </c>
      <c r="C48" s="2">
        <v>527.70000000000005</v>
      </c>
      <c r="D48" s="3">
        <v>750</v>
      </c>
      <c r="E48" s="4">
        <f t="shared" si="7"/>
        <v>0.70360000000000011</v>
      </c>
      <c r="F48" s="34">
        <v>724</v>
      </c>
      <c r="H48" t="str">
        <f t="shared" si="1"/>
        <v/>
      </c>
      <c r="I48" s="5">
        <f t="shared" si="8"/>
        <v>0</v>
      </c>
    </row>
    <row r="49" spans="1:9" x14ac:dyDescent="0.3">
      <c r="A49" t="s">
        <v>39</v>
      </c>
      <c r="B49" t="s">
        <v>137</v>
      </c>
      <c r="C49" s="2" t="s">
        <v>172</v>
      </c>
      <c r="D49" s="3">
        <v>150</v>
      </c>
      <c r="E49" s="4">
        <f t="shared" si="7"/>
        <v>0</v>
      </c>
      <c r="F49" s="34">
        <v>44</v>
      </c>
      <c r="H49" t="str">
        <f t="shared" si="1"/>
        <v/>
      </c>
      <c r="I49" s="5">
        <f t="shared" si="8"/>
        <v>0</v>
      </c>
    </row>
    <row r="50" spans="1:9" x14ac:dyDescent="0.3">
      <c r="A50" t="s">
        <v>40</v>
      </c>
      <c r="B50" t="s">
        <v>138</v>
      </c>
      <c r="C50" s="2">
        <v>223</v>
      </c>
      <c r="D50" s="3">
        <v>600</v>
      </c>
      <c r="E50" s="4">
        <f t="shared" si="7"/>
        <v>0.37166666666666665</v>
      </c>
      <c r="F50" s="34">
        <v>502.5</v>
      </c>
      <c r="H50" t="str">
        <f t="shared" si="1"/>
        <v/>
      </c>
      <c r="I50" s="5">
        <f t="shared" si="8"/>
        <v>0</v>
      </c>
    </row>
    <row r="51" spans="1:9" x14ac:dyDescent="0.3">
      <c r="A51" t="s">
        <v>41</v>
      </c>
      <c r="B51" t="s">
        <v>139</v>
      </c>
      <c r="C51" s="2">
        <v>445.61</v>
      </c>
      <c r="D51" s="3">
        <v>500</v>
      </c>
      <c r="E51" s="4">
        <f t="shared" si="7"/>
        <v>0.89122000000000001</v>
      </c>
      <c r="F51" s="34">
        <v>333.09</v>
      </c>
      <c r="H51" t="str">
        <f t="shared" si="1"/>
        <v/>
      </c>
      <c r="I51" s="5">
        <f t="shared" si="8"/>
        <v>0</v>
      </c>
    </row>
    <row r="52" spans="1:9" x14ac:dyDescent="0.3">
      <c r="A52" s="1" t="s">
        <v>231</v>
      </c>
      <c r="B52" s="1"/>
      <c r="C52" s="8">
        <f>SUM(C39:C51)</f>
        <v>2200.84</v>
      </c>
      <c r="D52" s="8">
        <v>5260</v>
      </c>
      <c r="E52" s="7">
        <f t="shared" si="7"/>
        <v>0.41841064638783271</v>
      </c>
      <c r="F52" s="37">
        <v>4088</v>
      </c>
      <c r="H52" t="str">
        <f t="shared" si="1"/>
        <v/>
      </c>
      <c r="I52" s="5">
        <f t="shared" si="8"/>
        <v>0</v>
      </c>
    </row>
    <row r="53" spans="1:9" x14ac:dyDescent="0.3">
      <c r="A53" s="1"/>
      <c r="B53" s="1"/>
      <c r="C53" s="8"/>
      <c r="D53" s="8"/>
      <c r="E53" s="7"/>
      <c r="F53" s="37"/>
      <c r="I53" s="5"/>
    </row>
    <row r="54" spans="1:9" x14ac:dyDescent="0.3">
      <c r="A54" s="1" t="s">
        <v>42</v>
      </c>
      <c r="B54" s="1"/>
      <c r="C54" s="8"/>
      <c r="D54" s="8"/>
      <c r="E54" s="7"/>
      <c r="F54" s="37"/>
      <c r="I54" s="5"/>
    </row>
    <row r="55" spans="1:9" x14ac:dyDescent="0.3">
      <c r="A55" s="1" t="s">
        <v>43</v>
      </c>
      <c r="B55" s="1"/>
      <c r="F55" s="36"/>
      <c r="I55" s="5"/>
    </row>
    <row r="56" spans="1:9" x14ac:dyDescent="0.3">
      <c r="A56" t="s">
        <v>44</v>
      </c>
      <c r="B56" t="s">
        <v>140</v>
      </c>
      <c r="C56" s="2">
        <v>739</v>
      </c>
      <c r="D56" s="3">
        <v>3370</v>
      </c>
      <c r="E56" s="4">
        <f t="shared" ref="E56:E61" si="9">IF(IFERROR(C56/D56,0)=0,0,C56/D56)</f>
        <v>0.21928783382789319</v>
      </c>
      <c r="F56" s="34">
        <v>2956</v>
      </c>
      <c r="H56" t="str">
        <f t="shared" si="1"/>
        <v/>
      </c>
      <c r="I56" s="5">
        <f t="shared" ref="I56:I72" si="10">IF(IF((ISERROR(D56-C56&lt;0))=TRUE,0,-(D56-C56))&lt;0,0,IF((ISERROR(D56-C56&lt;0))=TRUE,0,-(D56-C56)))</f>
        <v>0</v>
      </c>
    </row>
    <row r="57" spans="1:9" x14ac:dyDescent="0.3">
      <c r="A57" t="s">
        <v>45</v>
      </c>
      <c r="B57" t="s">
        <v>141</v>
      </c>
      <c r="C57" s="2">
        <v>0</v>
      </c>
      <c r="D57" s="3">
        <v>400</v>
      </c>
      <c r="E57" s="4">
        <f t="shared" si="9"/>
        <v>0</v>
      </c>
      <c r="F57" s="34">
        <v>400</v>
      </c>
      <c r="H57" t="str">
        <f t="shared" si="1"/>
        <v/>
      </c>
      <c r="I57" s="5">
        <f t="shared" si="10"/>
        <v>0</v>
      </c>
    </row>
    <row r="58" spans="1:9" x14ac:dyDescent="0.3">
      <c r="A58" t="s">
        <v>46</v>
      </c>
      <c r="B58" t="s">
        <v>142</v>
      </c>
      <c r="C58" s="2">
        <v>0</v>
      </c>
      <c r="D58" s="3">
        <v>400</v>
      </c>
      <c r="E58" s="4">
        <f t="shared" si="9"/>
        <v>0</v>
      </c>
      <c r="F58" s="34">
        <v>400</v>
      </c>
      <c r="H58" t="str">
        <f t="shared" si="1"/>
        <v/>
      </c>
      <c r="I58" s="5">
        <f t="shared" si="10"/>
        <v>0</v>
      </c>
    </row>
    <row r="59" spans="1:9" x14ac:dyDescent="0.3">
      <c r="A59" t="s">
        <v>47</v>
      </c>
      <c r="B59" t="s">
        <v>143</v>
      </c>
      <c r="C59" s="2">
        <v>0</v>
      </c>
      <c r="D59" s="3">
        <v>300</v>
      </c>
      <c r="E59" s="4">
        <f t="shared" si="9"/>
        <v>0</v>
      </c>
      <c r="F59" s="34">
        <v>300</v>
      </c>
      <c r="H59" t="str">
        <f t="shared" si="1"/>
        <v/>
      </c>
      <c r="I59" s="5">
        <f t="shared" si="10"/>
        <v>0</v>
      </c>
    </row>
    <row r="60" spans="1:9" x14ac:dyDescent="0.3">
      <c r="A60" t="s">
        <v>48</v>
      </c>
      <c r="B60" t="s">
        <v>144</v>
      </c>
      <c r="C60" s="2">
        <v>10.61</v>
      </c>
      <c r="D60" s="3">
        <v>1500</v>
      </c>
      <c r="E60" s="4">
        <f t="shared" si="9"/>
        <v>7.0733333333333334E-3</v>
      </c>
      <c r="F60" s="34">
        <v>163.75</v>
      </c>
      <c r="H60" t="str">
        <f t="shared" si="1"/>
        <v/>
      </c>
      <c r="I60" s="5">
        <f t="shared" si="10"/>
        <v>0</v>
      </c>
    </row>
    <row r="61" spans="1:9" x14ac:dyDescent="0.3">
      <c r="A61" s="1" t="s">
        <v>230</v>
      </c>
      <c r="B61" s="1"/>
      <c r="C61" s="6">
        <f>SUM(C56:C60)</f>
        <v>749.61</v>
      </c>
      <c r="D61" s="8">
        <v>5970</v>
      </c>
      <c r="E61" s="7">
        <f t="shared" si="9"/>
        <v>0.12556281407035177</v>
      </c>
      <c r="F61" s="37">
        <v>4219.75</v>
      </c>
      <c r="H61" t="str">
        <f t="shared" si="1"/>
        <v/>
      </c>
      <c r="I61" s="5">
        <f t="shared" si="10"/>
        <v>0</v>
      </c>
    </row>
    <row r="62" spans="1:9" x14ac:dyDescent="0.3">
      <c r="F62" s="36"/>
      <c r="H62" t="str">
        <f t="shared" si="1"/>
        <v/>
      </c>
      <c r="I62" s="5">
        <f t="shared" si="10"/>
        <v>0</v>
      </c>
    </row>
    <row r="63" spans="1:9" x14ac:dyDescent="0.3">
      <c r="A63" s="1" t="s">
        <v>49</v>
      </c>
      <c r="B63" s="1"/>
      <c r="F63" s="36"/>
      <c r="H63" t="str">
        <f t="shared" si="1"/>
        <v/>
      </c>
      <c r="I63" s="5">
        <f t="shared" si="10"/>
        <v>0</v>
      </c>
    </row>
    <row r="64" spans="1:9" x14ac:dyDescent="0.3">
      <c r="A64" t="s">
        <v>50</v>
      </c>
      <c r="B64" t="s">
        <v>145</v>
      </c>
      <c r="C64" s="2">
        <v>2116</v>
      </c>
      <c r="D64" s="3">
        <v>3050</v>
      </c>
      <c r="E64" s="4">
        <f t="shared" ref="E64:E72" si="11">IF(IFERROR(C64/D64,0)=0,0,C64/D64)</f>
        <v>0.69377049180327865</v>
      </c>
      <c r="F64" s="38">
        <v>2754</v>
      </c>
      <c r="H64" t="str">
        <f t="shared" si="1"/>
        <v/>
      </c>
      <c r="I64" s="5">
        <f t="shared" si="10"/>
        <v>0</v>
      </c>
    </row>
    <row r="65" spans="1:9" x14ac:dyDescent="0.3">
      <c r="A65" t="s">
        <v>51</v>
      </c>
      <c r="B65" t="s">
        <v>146</v>
      </c>
      <c r="C65" s="2">
        <v>19.86</v>
      </c>
      <c r="D65" s="3">
        <v>50</v>
      </c>
      <c r="E65" s="4">
        <f t="shared" si="11"/>
        <v>0.3972</v>
      </c>
      <c r="F65" s="38">
        <v>39.379999999999995</v>
      </c>
      <c r="H65" t="str">
        <f t="shared" si="1"/>
        <v/>
      </c>
      <c r="I65" s="5">
        <f t="shared" si="10"/>
        <v>0</v>
      </c>
    </row>
    <row r="66" spans="1:9" x14ac:dyDescent="0.3">
      <c r="A66" t="s">
        <v>52</v>
      </c>
      <c r="B66" t="s">
        <v>147</v>
      </c>
      <c r="C66" s="2">
        <v>0</v>
      </c>
      <c r="D66" s="3">
        <v>300</v>
      </c>
      <c r="E66" s="4">
        <f t="shared" si="11"/>
        <v>0</v>
      </c>
      <c r="F66" s="38">
        <v>137.63</v>
      </c>
      <c r="H66" t="str">
        <f t="shared" si="1"/>
        <v/>
      </c>
      <c r="I66" s="5">
        <f t="shared" si="10"/>
        <v>0</v>
      </c>
    </row>
    <row r="67" spans="1:9" x14ac:dyDescent="0.3">
      <c r="A67" t="s">
        <v>53</v>
      </c>
      <c r="B67" t="s">
        <v>148</v>
      </c>
      <c r="C67" s="2">
        <v>318.89</v>
      </c>
      <c r="D67" s="3">
        <v>1500</v>
      </c>
      <c r="E67" s="4">
        <f t="shared" si="11"/>
        <v>0.21259333333333333</v>
      </c>
      <c r="F67" s="38">
        <v>1074.5999999999999</v>
      </c>
      <c r="H67" t="str">
        <f t="shared" si="1"/>
        <v/>
      </c>
      <c r="I67" s="5">
        <f t="shared" si="10"/>
        <v>0</v>
      </c>
    </row>
    <row r="68" spans="1:9" x14ac:dyDescent="0.3">
      <c r="A68" t="s">
        <v>54</v>
      </c>
      <c r="B68" t="s">
        <v>149</v>
      </c>
      <c r="C68" s="2">
        <v>0</v>
      </c>
      <c r="D68" s="3">
        <v>150</v>
      </c>
      <c r="E68" s="4">
        <f t="shared" si="11"/>
        <v>0</v>
      </c>
      <c r="F68" s="38">
        <v>135</v>
      </c>
      <c r="H68" t="str">
        <f t="shared" si="1"/>
        <v/>
      </c>
      <c r="I68" s="5">
        <f t="shared" si="10"/>
        <v>0</v>
      </c>
    </row>
    <row r="69" spans="1:9" x14ac:dyDescent="0.3">
      <c r="A69" t="s">
        <v>55</v>
      </c>
      <c r="B69" t="s">
        <v>150</v>
      </c>
      <c r="C69" s="2">
        <v>0</v>
      </c>
      <c r="D69" s="3">
        <v>350</v>
      </c>
      <c r="E69" s="4">
        <f t="shared" si="11"/>
        <v>0</v>
      </c>
      <c r="F69" s="38">
        <v>180</v>
      </c>
      <c r="H69" t="str">
        <f t="shared" si="1"/>
        <v/>
      </c>
      <c r="I69" s="5">
        <f t="shared" si="10"/>
        <v>0</v>
      </c>
    </row>
    <row r="70" spans="1:9" hidden="1" x14ac:dyDescent="0.3">
      <c r="A70" t="s">
        <v>56</v>
      </c>
      <c r="B70" t="s">
        <v>151</v>
      </c>
      <c r="C70" s="2">
        <v>0</v>
      </c>
      <c r="D70" s="3"/>
      <c r="E70" s="4">
        <f t="shared" si="11"/>
        <v>0</v>
      </c>
      <c r="F70" s="38"/>
      <c r="H70" t="str">
        <f t="shared" si="1"/>
        <v/>
      </c>
      <c r="I70" s="5">
        <f t="shared" si="10"/>
        <v>0</v>
      </c>
    </row>
    <row r="71" spans="1:9" x14ac:dyDescent="0.3">
      <c r="A71" t="s">
        <v>57</v>
      </c>
      <c r="B71" t="s">
        <v>152</v>
      </c>
      <c r="C71" s="2">
        <v>0</v>
      </c>
      <c r="D71" s="3">
        <v>500</v>
      </c>
      <c r="E71" s="4">
        <f t="shared" si="11"/>
        <v>0</v>
      </c>
      <c r="F71" s="38">
        <v>180</v>
      </c>
      <c r="H71" t="str">
        <f t="shared" si="1"/>
        <v/>
      </c>
      <c r="I71" s="5">
        <f t="shared" si="10"/>
        <v>0</v>
      </c>
    </row>
    <row r="72" spans="1:9" x14ac:dyDescent="0.3">
      <c r="A72" s="1" t="s">
        <v>229</v>
      </c>
      <c r="B72" s="1"/>
      <c r="C72" s="8">
        <f>SUM(C64:C71)</f>
        <v>2454.75</v>
      </c>
      <c r="D72" s="8">
        <v>5900</v>
      </c>
      <c r="E72" s="7">
        <f t="shared" si="11"/>
        <v>0.41605932203389828</v>
      </c>
      <c r="F72" s="37">
        <v>4500.6100000000006</v>
      </c>
      <c r="H72" t="str">
        <f t="shared" si="1"/>
        <v/>
      </c>
      <c r="I72" s="5">
        <f t="shared" si="10"/>
        <v>0</v>
      </c>
    </row>
    <row r="73" spans="1:9" x14ac:dyDescent="0.3">
      <c r="A73" s="1"/>
      <c r="B73" s="1"/>
      <c r="C73" s="8"/>
      <c r="D73" s="8"/>
      <c r="E73" s="7"/>
      <c r="F73" s="34"/>
      <c r="I73" s="5"/>
    </row>
    <row r="74" spans="1:9" x14ac:dyDescent="0.3">
      <c r="A74" s="1" t="s">
        <v>58</v>
      </c>
      <c r="B74" s="1"/>
      <c r="C74" s="8"/>
      <c r="D74" s="8"/>
      <c r="E74" s="7"/>
      <c r="F74" s="34"/>
      <c r="I74" s="5"/>
    </row>
    <row r="75" spans="1:9" x14ac:dyDescent="0.3">
      <c r="A75" t="s">
        <v>59</v>
      </c>
      <c r="B75" t="s">
        <v>153</v>
      </c>
      <c r="C75" s="2">
        <v>110</v>
      </c>
      <c r="D75" s="3">
        <v>235</v>
      </c>
      <c r="E75" s="4">
        <f t="shared" ref="E75:E86" si="12">IF(IFERROR(C75/D75,0)=0,0,C75/D75)</f>
        <v>0.46808510638297873</v>
      </c>
      <c r="F75" s="38">
        <v>192</v>
      </c>
      <c r="H75" t="str">
        <f t="shared" si="1"/>
        <v/>
      </c>
      <c r="I75" s="5">
        <f t="shared" ref="I75:I86" si="13">IF(IF((ISERROR(D75-C75&lt;0))=TRUE,0,-(D75-C75))&lt;0,0,IF((ISERROR(D75-C75&lt;0))=TRUE,0,-(D75-C75)))</f>
        <v>0</v>
      </c>
    </row>
    <row r="76" spans="1:9" x14ac:dyDescent="0.3">
      <c r="A76" t="s">
        <v>60</v>
      </c>
      <c r="B76" t="s">
        <v>154</v>
      </c>
      <c r="C76" s="2">
        <v>438.6</v>
      </c>
      <c r="D76" s="3">
        <v>438.61</v>
      </c>
      <c r="E76" s="4">
        <f t="shared" si="12"/>
        <v>0.99997720070221841</v>
      </c>
      <c r="F76" s="38">
        <v>412.38</v>
      </c>
      <c r="H76" t="str">
        <f t="shared" si="1"/>
        <v/>
      </c>
      <c r="I76" s="5">
        <f t="shared" si="13"/>
        <v>0</v>
      </c>
    </row>
    <row r="77" spans="1:9" hidden="1" x14ac:dyDescent="0.3">
      <c r="A77" t="s">
        <v>61</v>
      </c>
      <c r="B77" t="s">
        <v>155</v>
      </c>
      <c r="C77" s="2">
        <v>0</v>
      </c>
      <c r="D77" s="3"/>
      <c r="E77" s="4">
        <f t="shared" si="12"/>
        <v>0</v>
      </c>
      <c r="F77" s="38">
        <v>0</v>
      </c>
      <c r="H77" t="str">
        <f t="shared" si="1"/>
        <v/>
      </c>
      <c r="I77" s="5">
        <f t="shared" si="13"/>
        <v>0</v>
      </c>
    </row>
    <row r="78" spans="1:9" x14ac:dyDescent="0.3">
      <c r="A78" t="s">
        <v>62</v>
      </c>
      <c r="B78" t="s">
        <v>156</v>
      </c>
      <c r="C78" s="2">
        <v>4500</v>
      </c>
      <c r="D78" s="3">
        <v>5000</v>
      </c>
      <c r="E78" s="4">
        <f t="shared" si="12"/>
        <v>0.9</v>
      </c>
      <c r="F78" s="38">
        <v>5000</v>
      </c>
      <c r="H78" t="str">
        <f t="shared" si="1"/>
        <v/>
      </c>
      <c r="I78" s="5">
        <f t="shared" si="13"/>
        <v>0</v>
      </c>
    </row>
    <row r="79" spans="1:9" hidden="1" x14ac:dyDescent="0.3">
      <c r="A79" t="s">
        <v>63</v>
      </c>
      <c r="B79" t="s">
        <v>157</v>
      </c>
      <c r="C79" s="2">
        <v>0</v>
      </c>
      <c r="D79" s="3"/>
      <c r="E79" s="4">
        <f t="shared" si="12"/>
        <v>0</v>
      </c>
      <c r="F79" s="38">
        <v>0</v>
      </c>
      <c r="H79" t="str">
        <f t="shared" si="1"/>
        <v/>
      </c>
      <c r="I79" s="5">
        <f t="shared" si="13"/>
        <v>0</v>
      </c>
    </row>
    <row r="80" spans="1:9" hidden="1" x14ac:dyDescent="0.3">
      <c r="A80" t="s">
        <v>64</v>
      </c>
      <c r="B80" t="s">
        <v>158</v>
      </c>
      <c r="C80" s="2">
        <v>0</v>
      </c>
      <c r="D80" s="3"/>
      <c r="E80" s="4">
        <f t="shared" si="12"/>
        <v>0</v>
      </c>
      <c r="F80" s="38">
        <v>0</v>
      </c>
      <c r="H80" t="str">
        <f t="shared" si="1"/>
        <v/>
      </c>
      <c r="I80" s="5">
        <f t="shared" si="13"/>
        <v>0</v>
      </c>
    </row>
    <row r="81" spans="1:9" x14ac:dyDescent="0.3">
      <c r="A81" t="s">
        <v>65</v>
      </c>
      <c r="B81" t="s">
        <v>158</v>
      </c>
      <c r="C81" s="2">
        <v>0</v>
      </c>
      <c r="D81" s="3">
        <v>150</v>
      </c>
      <c r="E81" s="4">
        <f t="shared" si="12"/>
        <v>0</v>
      </c>
      <c r="F81" s="38">
        <v>87.5</v>
      </c>
      <c r="H81" t="str">
        <f t="shared" ref="H81:H105" si="14">IF(I81=0,"","Over budget by")</f>
        <v/>
      </c>
      <c r="I81" s="5">
        <f t="shared" si="13"/>
        <v>0</v>
      </c>
    </row>
    <row r="82" spans="1:9" x14ac:dyDescent="0.3">
      <c r="A82" t="s">
        <v>66</v>
      </c>
      <c r="B82" t="s">
        <v>159</v>
      </c>
      <c r="C82" s="2">
        <v>0</v>
      </c>
      <c r="D82" s="3">
        <v>500</v>
      </c>
      <c r="E82" s="4">
        <f t="shared" si="12"/>
        <v>0</v>
      </c>
      <c r="F82" s="38">
        <v>61</v>
      </c>
      <c r="H82" t="str">
        <f t="shared" si="14"/>
        <v/>
      </c>
      <c r="I82" s="5">
        <f t="shared" si="13"/>
        <v>0</v>
      </c>
    </row>
    <row r="83" spans="1:9" x14ac:dyDescent="0.3">
      <c r="A83" t="s">
        <v>67</v>
      </c>
      <c r="B83" t="s">
        <v>160</v>
      </c>
      <c r="C83" s="2">
        <v>0</v>
      </c>
      <c r="D83" s="3">
        <v>200</v>
      </c>
      <c r="E83" s="4">
        <f t="shared" si="12"/>
        <v>0</v>
      </c>
      <c r="F83" s="38">
        <v>0</v>
      </c>
      <c r="H83" t="str">
        <f t="shared" si="14"/>
        <v/>
      </c>
      <c r="I83" s="5">
        <f t="shared" si="13"/>
        <v>0</v>
      </c>
    </row>
    <row r="84" spans="1:9" x14ac:dyDescent="0.3">
      <c r="A84" t="s">
        <v>68</v>
      </c>
      <c r="B84" t="s">
        <v>161</v>
      </c>
      <c r="C84" s="2">
        <v>160</v>
      </c>
      <c r="D84" s="3">
        <v>450</v>
      </c>
      <c r="E84" s="4">
        <f t="shared" si="12"/>
        <v>0.35555555555555557</v>
      </c>
      <c r="F84" s="38">
        <v>1231.5</v>
      </c>
      <c r="H84" t="str">
        <f t="shared" si="14"/>
        <v/>
      </c>
      <c r="I84" s="5">
        <f t="shared" si="13"/>
        <v>0</v>
      </c>
    </row>
    <row r="85" spans="1:9" hidden="1" x14ac:dyDescent="0.3">
      <c r="A85" t="s">
        <v>69</v>
      </c>
      <c r="B85" t="s">
        <v>162</v>
      </c>
      <c r="C85" s="2">
        <v>0</v>
      </c>
      <c r="D85" s="3"/>
      <c r="E85" s="4">
        <f t="shared" si="12"/>
        <v>0</v>
      </c>
      <c r="F85" s="38"/>
      <c r="H85" t="str">
        <f t="shared" si="14"/>
        <v/>
      </c>
      <c r="I85" s="5">
        <f t="shared" si="13"/>
        <v>0</v>
      </c>
    </row>
    <row r="86" spans="1:9" x14ac:dyDescent="0.3">
      <c r="A86" s="1" t="s">
        <v>228</v>
      </c>
      <c r="B86" s="1"/>
      <c r="C86" s="8">
        <f>SUM(C75:C84)</f>
        <v>5208.6000000000004</v>
      </c>
      <c r="D86" s="8">
        <v>6973.61</v>
      </c>
      <c r="E86" s="7">
        <f t="shared" si="12"/>
        <v>0.74690153306537077</v>
      </c>
      <c r="F86" s="37">
        <v>6984.38</v>
      </c>
      <c r="H86" t="str">
        <f t="shared" si="14"/>
        <v/>
      </c>
      <c r="I86" s="5">
        <f t="shared" si="13"/>
        <v>0</v>
      </c>
    </row>
    <row r="87" spans="1:9" x14ac:dyDescent="0.3">
      <c r="A87" s="1"/>
      <c r="B87" s="1"/>
      <c r="C87" s="8"/>
      <c r="D87" s="8"/>
      <c r="E87" s="7"/>
      <c r="F87" s="34"/>
      <c r="I87" s="5"/>
    </row>
    <row r="88" spans="1:9" x14ac:dyDescent="0.3">
      <c r="A88" s="1" t="s">
        <v>70</v>
      </c>
      <c r="B88" s="1"/>
      <c r="C88" s="8"/>
      <c r="D88" s="8"/>
      <c r="E88" s="7"/>
      <c r="F88" s="34"/>
      <c r="I88" s="5"/>
    </row>
    <row r="89" spans="1:9" x14ac:dyDescent="0.3">
      <c r="A89" t="s">
        <v>71</v>
      </c>
      <c r="B89" t="s">
        <v>163</v>
      </c>
      <c r="C89" s="2">
        <v>171.51</v>
      </c>
      <c r="D89" s="3">
        <v>3000</v>
      </c>
      <c r="E89" s="4">
        <f t="shared" ref="E89:E91" si="15">IF(IFERROR(C89/D89,0)=0,0,C89/D89)</f>
        <v>5.7169999999999999E-2</v>
      </c>
      <c r="F89" s="38">
        <v>0</v>
      </c>
      <c r="H89" t="str">
        <f t="shared" si="14"/>
        <v/>
      </c>
      <c r="I89" s="5">
        <f t="shared" ref="I89:I91" si="16">IF(IF((ISERROR(D89-C89&lt;0))=TRUE,0,-(D89-C89))&lt;0,0,IF((ISERROR(D89-C89&lt;0))=TRUE,0,-(D89-C89)))</f>
        <v>0</v>
      </c>
    </row>
    <row r="90" spans="1:9" x14ac:dyDescent="0.3">
      <c r="A90" t="s">
        <v>72</v>
      </c>
      <c r="B90" t="s">
        <v>164</v>
      </c>
      <c r="C90" s="2">
        <v>613.96</v>
      </c>
      <c r="D90" s="3">
        <v>5000</v>
      </c>
      <c r="E90" s="4">
        <f t="shared" si="15"/>
        <v>0.12279200000000001</v>
      </c>
      <c r="F90" s="38">
        <v>0</v>
      </c>
      <c r="H90" t="str">
        <f t="shared" si="14"/>
        <v/>
      </c>
      <c r="I90" s="5">
        <f t="shared" si="16"/>
        <v>0</v>
      </c>
    </row>
    <row r="91" spans="1:9" x14ac:dyDescent="0.3">
      <c r="A91" s="1" t="s">
        <v>227</v>
      </c>
      <c r="B91" s="1"/>
      <c r="C91" s="8">
        <f>SUM(C89:C90)</f>
        <v>785.47</v>
      </c>
      <c r="D91" s="8">
        <v>8000</v>
      </c>
      <c r="E91" s="7">
        <f t="shared" si="15"/>
        <v>9.818375E-2</v>
      </c>
      <c r="F91" s="37">
        <v>0</v>
      </c>
      <c r="H91" t="str">
        <f t="shared" si="14"/>
        <v/>
      </c>
      <c r="I91" s="5">
        <f t="shared" si="16"/>
        <v>0</v>
      </c>
    </row>
    <row r="92" spans="1:9" x14ac:dyDescent="0.3">
      <c r="A92" s="1"/>
      <c r="B92" s="1"/>
      <c r="C92" s="5"/>
      <c r="D92" s="2"/>
      <c r="E92" s="7"/>
      <c r="F92" s="37"/>
      <c r="I92" s="5"/>
    </row>
    <row r="93" spans="1:9" x14ac:dyDescent="0.3">
      <c r="A93" s="1" t="s">
        <v>73</v>
      </c>
      <c r="B93" s="1"/>
      <c r="C93" s="5"/>
      <c r="D93" s="2"/>
      <c r="E93" s="7"/>
      <c r="F93" s="37"/>
      <c r="I93" s="5"/>
    </row>
    <row r="94" spans="1:9" x14ac:dyDescent="0.3">
      <c r="A94" t="s">
        <v>74</v>
      </c>
      <c r="B94" t="s">
        <v>165</v>
      </c>
      <c r="C94" s="2">
        <v>0</v>
      </c>
      <c r="D94" s="3">
        <v>1500</v>
      </c>
      <c r="E94" s="4">
        <f t="shared" ref="E94:E99" si="17">IF(IFERROR(C94/D94,0)=0,0,C94/D94)</f>
        <v>0</v>
      </c>
      <c r="F94" s="38">
        <v>0</v>
      </c>
      <c r="H94" t="str">
        <f t="shared" si="14"/>
        <v/>
      </c>
      <c r="I94" s="5">
        <f t="shared" ref="I94:I99" si="18">IF(IF((ISERROR(D94-C94&lt;0))=TRUE,0,-(D94-C94))&lt;0,0,IF((ISERROR(D94-C94&lt;0))=TRUE,0,-(D94-C94)))</f>
        <v>0</v>
      </c>
    </row>
    <row r="95" spans="1:9" x14ac:dyDescent="0.3">
      <c r="A95" t="s">
        <v>75</v>
      </c>
      <c r="B95" t="s">
        <v>166</v>
      </c>
      <c r="C95" s="2">
        <v>0</v>
      </c>
      <c r="D95" s="3">
        <v>3000</v>
      </c>
      <c r="E95" s="4">
        <f t="shared" si="17"/>
        <v>0</v>
      </c>
      <c r="F95" s="38">
        <v>0</v>
      </c>
      <c r="H95" t="str">
        <f t="shared" si="14"/>
        <v/>
      </c>
      <c r="I95" s="5">
        <f t="shared" si="18"/>
        <v>0</v>
      </c>
    </row>
    <row r="96" spans="1:9" x14ac:dyDescent="0.3">
      <c r="A96" t="s">
        <v>76</v>
      </c>
      <c r="B96" t="s">
        <v>167</v>
      </c>
      <c r="C96" s="2">
        <v>3000</v>
      </c>
      <c r="D96" s="3">
        <v>3000</v>
      </c>
      <c r="E96" s="4">
        <f t="shared" si="17"/>
        <v>1</v>
      </c>
      <c r="F96" s="38">
        <v>0</v>
      </c>
      <c r="H96" t="str">
        <f t="shared" si="14"/>
        <v/>
      </c>
      <c r="I96" s="5">
        <f t="shared" si="18"/>
        <v>0</v>
      </c>
    </row>
    <row r="97" spans="1:9" x14ac:dyDescent="0.3">
      <c r="A97" t="s">
        <v>77</v>
      </c>
      <c r="B97" t="s">
        <v>168</v>
      </c>
      <c r="C97" s="2">
        <v>0</v>
      </c>
      <c r="D97" s="3">
        <v>350</v>
      </c>
      <c r="E97" s="4">
        <f t="shared" si="17"/>
        <v>0</v>
      </c>
      <c r="F97" s="38">
        <v>0</v>
      </c>
      <c r="H97" t="str">
        <f t="shared" si="14"/>
        <v/>
      </c>
      <c r="I97" s="5">
        <f t="shared" si="18"/>
        <v>0</v>
      </c>
    </row>
    <row r="98" spans="1:9" x14ac:dyDescent="0.3">
      <c r="A98" t="s">
        <v>78</v>
      </c>
      <c r="B98" t="s">
        <v>169</v>
      </c>
      <c r="C98" s="2">
        <f>1362.1+4411.5</f>
        <v>5773.6</v>
      </c>
      <c r="D98" s="3">
        <v>30300</v>
      </c>
      <c r="E98" s="4">
        <f t="shared" si="17"/>
        <v>0.19054785478547856</v>
      </c>
      <c r="F98" s="38">
        <v>0</v>
      </c>
      <c r="H98" t="str">
        <f t="shared" si="14"/>
        <v/>
      </c>
      <c r="I98" s="5">
        <f t="shared" si="18"/>
        <v>0</v>
      </c>
    </row>
    <row r="99" spans="1:9" x14ac:dyDescent="0.3">
      <c r="A99" s="1" t="s">
        <v>226</v>
      </c>
      <c r="B99" s="1"/>
      <c r="C99" s="6">
        <f>SUM(C94:C98)</f>
        <v>8773.6</v>
      </c>
      <c r="D99" s="8">
        <v>38150</v>
      </c>
      <c r="E99" s="7">
        <f t="shared" si="17"/>
        <v>0.22997640891218873</v>
      </c>
      <c r="F99" s="37">
        <v>0</v>
      </c>
      <c r="H99" t="str">
        <f t="shared" si="14"/>
        <v/>
      </c>
      <c r="I99" s="5">
        <f t="shared" si="18"/>
        <v>0</v>
      </c>
    </row>
    <row r="100" spans="1:9" x14ac:dyDescent="0.3">
      <c r="A100" s="1"/>
      <c r="B100" s="1"/>
      <c r="C100" s="5"/>
      <c r="D100" s="2"/>
      <c r="E100" s="7"/>
      <c r="F100" s="37"/>
      <c r="I100" s="5"/>
    </row>
    <row r="101" spans="1:9" x14ac:dyDescent="0.3">
      <c r="A101" s="1"/>
      <c r="B101" s="1"/>
      <c r="C101" s="5"/>
      <c r="D101" s="2"/>
      <c r="E101" s="7"/>
      <c r="F101" s="37"/>
      <c r="I101" s="5"/>
    </row>
    <row r="102" spans="1:9" x14ac:dyDescent="0.3">
      <c r="A102" s="1" t="s">
        <v>79</v>
      </c>
      <c r="C102" s="8">
        <v>0</v>
      </c>
      <c r="D102" s="6">
        <v>2000</v>
      </c>
      <c r="E102" s="7">
        <f t="shared" ref="E102:E106" si="19">IF(IFERROR(C102/D102,0)=0,0,C102/D102)</f>
        <v>0</v>
      </c>
      <c r="F102" s="35">
        <v>4463.0600000000004</v>
      </c>
      <c r="H102" t="str">
        <f t="shared" si="14"/>
        <v/>
      </c>
      <c r="I102" s="5">
        <f t="shared" ref="I102:I105" si="20">IF(IF((ISERROR(D102-C102&lt;0))=TRUE,0,-(D102-C102))&lt;0,0,IF((ISERROR(D102-C102&lt;0))=TRUE,0,-(D102-C102)))</f>
        <v>0</v>
      </c>
    </row>
    <row r="103" spans="1:9" x14ac:dyDescent="0.3">
      <c r="A103" s="1" t="s">
        <v>177</v>
      </c>
      <c r="C103" s="6">
        <f>C26</f>
        <v>28790.53</v>
      </c>
      <c r="D103" s="6">
        <f>D26</f>
        <v>52313.69</v>
      </c>
      <c r="E103" s="7">
        <f t="shared" si="19"/>
        <v>0.55034408775217347</v>
      </c>
      <c r="F103" s="35">
        <f>F26</f>
        <v>53009.11</v>
      </c>
      <c r="H103" t="str">
        <f t="shared" si="14"/>
        <v/>
      </c>
      <c r="I103" s="5">
        <f t="shared" ref="I103" si="21">IF(IF((ISERROR(D103-C103&lt;0))=TRUE,0,-(D103-C103))&lt;0,0,IF((ISERROR(D103-C103&lt;0))=TRUE,0,-(D103-C103)))</f>
        <v>0</v>
      </c>
    </row>
    <row r="104" spans="1:9" x14ac:dyDescent="0.3">
      <c r="A104" s="1" t="s">
        <v>225</v>
      </c>
      <c r="B104" s="1"/>
      <c r="C104" s="8">
        <f>C99+C91+C86+C72+C61+C52+C36</f>
        <v>32171.83</v>
      </c>
      <c r="D104" s="6">
        <v>97333.790000000008</v>
      </c>
      <c r="E104" s="7">
        <f t="shared" si="19"/>
        <v>0.33053094922123138</v>
      </c>
      <c r="F104" s="35">
        <v>44006.62</v>
      </c>
      <c r="H104" t="str">
        <f t="shared" si="14"/>
        <v/>
      </c>
      <c r="I104" s="5">
        <f t="shared" si="20"/>
        <v>0</v>
      </c>
    </row>
    <row r="105" spans="1:9" x14ac:dyDescent="0.3">
      <c r="A105" s="1" t="s">
        <v>80</v>
      </c>
      <c r="B105" s="1"/>
      <c r="C105" s="8">
        <f>C104-C36</f>
        <v>20172.870000000003</v>
      </c>
      <c r="D105" s="6">
        <v>72253.610000000015</v>
      </c>
      <c r="E105" s="7">
        <f t="shared" si="19"/>
        <v>0.27919532325097662</v>
      </c>
      <c r="F105" s="35">
        <v>24255.8</v>
      </c>
      <c r="H105" t="str">
        <f t="shared" si="14"/>
        <v/>
      </c>
      <c r="I105" s="5">
        <f t="shared" si="20"/>
        <v>0</v>
      </c>
    </row>
    <row r="106" spans="1:9" x14ac:dyDescent="0.3">
      <c r="A106" s="1" t="s">
        <v>81</v>
      </c>
      <c r="B106" s="1"/>
      <c r="C106" s="8">
        <f>C26-C104</f>
        <v>-3381.3000000000029</v>
      </c>
      <c r="D106" s="6">
        <v>-45020.100000000006</v>
      </c>
      <c r="E106" s="7">
        <f t="shared" si="19"/>
        <v>7.5106452451238495E-2</v>
      </c>
      <c r="F106" s="35">
        <v>9002.489999999998</v>
      </c>
      <c r="I106" s="5"/>
    </row>
    <row r="107" spans="1:9" x14ac:dyDescent="0.3">
      <c r="A107" s="1" t="s">
        <v>233</v>
      </c>
      <c r="B107" s="1"/>
      <c r="C107" s="6">
        <f>C36+C52+C61+C72+C86+C91</f>
        <v>23398.230000000003</v>
      </c>
      <c r="D107" s="6"/>
      <c r="E107" s="7"/>
      <c r="F107" s="6"/>
      <c r="I107" s="5"/>
    </row>
    <row r="108" spans="1:9" x14ac:dyDescent="0.3">
      <c r="A108" s="1" t="s">
        <v>173</v>
      </c>
      <c r="B108" s="1"/>
      <c r="C108" s="6">
        <f>C26-C107</f>
        <v>5392.2999999999956</v>
      </c>
      <c r="D108" s="6"/>
      <c r="E108" s="7"/>
      <c r="F108" s="6"/>
    </row>
    <row r="109" spans="1:9" x14ac:dyDescent="0.3">
      <c r="B109" s="1"/>
    </row>
    <row r="111" spans="1:9" x14ac:dyDescent="0.3">
      <c r="A111" s="1" t="s">
        <v>178</v>
      </c>
    </row>
    <row r="112" spans="1:9" x14ac:dyDescent="0.3">
      <c r="A112" t="s">
        <v>104</v>
      </c>
      <c r="C112" s="5">
        <f>C18</f>
        <v>12040</v>
      </c>
    </row>
    <row r="113" spans="1:3" x14ac:dyDescent="0.3">
      <c r="A113" t="s">
        <v>180</v>
      </c>
      <c r="C113" s="5">
        <f>C61</f>
        <v>749.61</v>
      </c>
    </row>
    <row r="114" spans="1:3" x14ac:dyDescent="0.3">
      <c r="A114" t="s">
        <v>179</v>
      </c>
      <c r="C114" s="5">
        <f>C36/12</f>
        <v>999.91333333333341</v>
      </c>
    </row>
    <row r="115" spans="1:3" x14ac:dyDescent="0.3">
      <c r="A115" s="1" t="s">
        <v>17</v>
      </c>
      <c r="B115" s="1"/>
      <c r="C115" s="6">
        <f>C112-C113-C114</f>
        <v>10290.476666666666</v>
      </c>
    </row>
  </sheetData>
  <mergeCells count="2">
    <mergeCell ref="C14:E14"/>
    <mergeCell ref="C4:E4"/>
  </mergeCells>
  <conditionalFormatting sqref="I16:I26">
    <cfRule type="colorScale" priority="11">
      <colorScale>
        <cfvo type="num" val="0"/>
        <cfvo type="num" val="500"/>
        <color theme="0"/>
        <color rgb="FFFFC000"/>
      </colorScale>
    </cfRule>
  </conditionalFormatting>
  <conditionalFormatting sqref="I30">
    <cfRule type="colorScale" priority="10">
      <colorScale>
        <cfvo type="num" val="0"/>
        <cfvo type="num" val="500"/>
        <color theme="0"/>
        <color rgb="FFFFC000"/>
      </colorScale>
    </cfRule>
  </conditionalFormatting>
  <conditionalFormatting sqref="I33">
    <cfRule type="colorScale" priority="9">
      <colorScale>
        <cfvo type="num" val="0"/>
        <cfvo type="num" val="500"/>
        <color theme="0"/>
        <color rgb="FFFFC000"/>
      </colorScale>
    </cfRule>
  </conditionalFormatting>
  <conditionalFormatting sqref="I34">
    <cfRule type="colorScale" priority="8">
      <colorScale>
        <cfvo type="num" val="0"/>
        <cfvo type="num" val="500"/>
        <color theme="0"/>
        <color rgb="FFFFC000"/>
      </colorScale>
    </cfRule>
  </conditionalFormatting>
  <conditionalFormatting sqref="I36">
    <cfRule type="colorScale" priority="7">
      <colorScale>
        <cfvo type="num" val="0"/>
        <cfvo type="num" val="500"/>
        <color theme="0"/>
        <color rgb="FFFFC000"/>
      </colorScale>
    </cfRule>
  </conditionalFormatting>
  <conditionalFormatting sqref="I39:I52">
    <cfRule type="colorScale" priority="6">
      <colorScale>
        <cfvo type="num" val="0"/>
        <cfvo type="num" val="500"/>
        <color theme="0"/>
        <color rgb="FFFFC000"/>
      </colorScale>
    </cfRule>
  </conditionalFormatting>
  <conditionalFormatting sqref="I56:I72">
    <cfRule type="colorScale" priority="5">
      <colorScale>
        <cfvo type="num" val="0"/>
        <cfvo type="num" val="500"/>
        <color theme="0"/>
        <color rgb="FFFFC000"/>
      </colorScale>
    </cfRule>
  </conditionalFormatting>
  <conditionalFormatting sqref="I75:I86">
    <cfRule type="colorScale" priority="4">
      <colorScale>
        <cfvo type="num" val="0"/>
        <cfvo type="num" val="500"/>
        <color theme="0"/>
        <color rgb="FFFFC000"/>
      </colorScale>
    </cfRule>
  </conditionalFormatting>
  <conditionalFormatting sqref="I89:I91">
    <cfRule type="colorScale" priority="3">
      <colorScale>
        <cfvo type="num" val="0"/>
        <cfvo type="num" val="500"/>
        <color theme="0"/>
        <color rgb="FFFFC000"/>
      </colorScale>
    </cfRule>
  </conditionalFormatting>
  <conditionalFormatting sqref="I94:I99">
    <cfRule type="colorScale" priority="2">
      <colorScale>
        <cfvo type="num" val="0"/>
        <cfvo type="num" val="500"/>
        <color theme="0"/>
        <color rgb="FFFFC000"/>
      </colorScale>
    </cfRule>
  </conditionalFormatting>
  <conditionalFormatting sqref="I102:I107">
    <cfRule type="colorScale" priority="1">
      <colorScale>
        <cfvo type="num" val="0"/>
        <cfvo type="num" val="500"/>
        <color theme="0"/>
        <color rgb="FFFFC000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2D6A-3DA0-4274-B0C4-BA891E019830}">
  <dimension ref="A1:J9"/>
  <sheetViews>
    <sheetView workbookViewId="0">
      <selection activeCell="I9" sqref="I9"/>
    </sheetView>
  </sheetViews>
  <sheetFormatPr defaultRowHeight="14.4" x14ac:dyDescent="0.3"/>
  <cols>
    <col min="1" max="1" width="13" bestFit="1" customWidth="1"/>
    <col min="2" max="2" width="29.109375" bestFit="1" customWidth="1"/>
    <col min="6" max="6" width="16.33203125" bestFit="1" customWidth="1"/>
    <col min="7" max="7" width="14.5546875" bestFit="1" customWidth="1"/>
    <col min="9" max="9" width="20.109375" customWidth="1"/>
    <col min="10" max="10" width="16.33203125" bestFit="1" customWidth="1"/>
  </cols>
  <sheetData>
    <row r="1" spans="1:10" x14ac:dyDescent="0.3">
      <c r="A1" s="1" t="s">
        <v>87</v>
      </c>
    </row>
    <row r="2" spans="1:10" x14ac:dyDescent="0.3">
      <c r="E2" s="1" t="s">
        <v>88</v>
      </c>
      <c r="F2" s="1" t="s">
        <v>89</v>
      </c>
      <c r="G2" s="1" t="s">
        <v>90</v>
      </c>
      <c r="H2" s="1"/>
      <c r="I2" s="1" t="s">
        <v>91</v>
      </c>
      <c r="J2" s="1" t="s">
        <v>92</v>
      </c>
    </row>
    <row r="3" spans="1:10" x14ac:dyDescent="0.3">
      <c r="B3" s="39" t="s">
        <v>93</v>
      </c>
      <c r="E3" t="s">
        <v>94</v>
      </c>
      <c r="F3" s="2">
        <v>45749.26</v>
      </c>
      <c r="G3" s="40">
        <v>46477</v>
      </c>
      <c r="I3" s="2">
        <v>34567.74</v>
      </c>
      <c r="J3" s="2">
        <f>F3-I3</f>
        <v>11181.520000000004</v>
      </c>
    </row>
    <row r="4" spans="1:10" x14ac:dyDescent="0.3">
      <c r="B4" s="39" t="s">
        <v>95</v>
      </c>
      <c r="E4" t="s">
        <v>96</v>
      </c>
      <c r="F4" s="2">
        <v>15594.86</v>
      </c>
      <c r="G4" s="40">
        <v>46477</v>
      </c>
      <c r="I4" s="2">
        <v>0</v>
      </c>
      <c r="J4" s="2">
        <f>F4-I4</f>
        <v>15594.86</v>
      </c>
    </row>
    <row r="5" spans="1:10" x14ac:dyDescent="0.3">
      <c r="E5" t="s">
        <v>97</v>
      </c>
      <c r="F5" s="2">
        <v>16450.71</v>
      </c>
      <c r="G5" s="40">
        <v>47080</v>
      </c>
      <c r="I5" s="2">
        <v>0</v>
      </c>
      <c r="J5" s="2">
        <f t="shared" ref="J5:J6" si="0">F5-I5</f>
        <v>16450.71</v>
      </c>
    </row>
    <row r="6" spans="1:10" x14ac:dyDescent="0.3">
      <c r="E6" t="s">
        <v>98</v>
      </c>
      <c r="F6" s="2">
        <v>4540.46</v>
      </c>
      <c r="G6" s="40">
        <v>47261</v>
      </c>
      <c r="I6" s="2">
        <v>0</v>
      </c>
      <c r="J6" s="2">
        <f t="shared" si="0"/>
        <v>4540.46</v>
      </c>
    </row>
    <row r="7" spans="1:10" x14ac:dyDescent="0.3">
      <c r="E7" t="s">
        <v>170</v>
      </c>
      <c r="F7" s="2">
        <f>SUM(F3:F6)</f>
        <v>82335.290000000008</v>
      </c>
      <c r="I7" s="2"/>
      <c r="J7" s="2"/>
    </row>
    <row r="8" spans="1:10" x14ac:dyDescent="0.3">
      <c r="E8" s="1" t="s">
        <v>171</v>
      </c>
      <c r="F8" s="1"/>
      <c r="G8" s="1"/>
      <c r="H8" s="1"/>
      <c r="I8" s="8">
        <f>SUM(J3:J6)</f>
        <v>47767.55</v>
      </c>
      <c r="J8" s="2"/>
    </row>
    <row r="9" spans="1:10" x14ac:dyDescent="0.3">
      <c r="E9" s="1" t="s">
        <v>111</v>
      </c>
      <c r="F9" s="1"/>
      <c r="G9" s="1"/>
      <c r="H9" s="1"/>
      <c r="I9" s="8">
        <f>J3+J4</f>
        <v>26776.380000000005</v>
      </c>
      <c r="J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A0679-2927-4741-B8EE-670FCE3DFB94}">
  <dimension ref="A1:F2"/>
  <sheetViews>
    <sheetView workbookViewId="0">
      <selection activeCell="A3" sqref="A3"/>
    </sheetView>
  </sheetViews>
  <sheetFormatPr defaultRowHeight="14.4" x14ac:dyDescent="0.3"/>
  <cols>
    <col min="1" max="1" width="12" bestFit="1" customWidth="1"/>
    <col min="2" max="2" width="45.109375" bestFit="1" customWidth="1"/>
    <col min="3" max="3" width="27.33203125" customWidth="1"/>
    <col min="4" max="4" width="22.44140625" customWidth="1"/>
    <col min="5" max="5" width="18.6640625" customWidth="1"/>
    <col min="6" max="6" width="13.5546875" customWidth="1"/>
  </cols>
  <sheetData>
    <row r="1" spans="1:6" x14ac:dyDescent="0.3">
      <c r="A1" s="1" t="s">
        <v>16</v>
      </c>
    </row>
    <row r="2" spans="1:6" ht="15.6" x14ac:dyDescent="0.3">
      <c r="A2" s="59" t="s">
        <v>181</v>
      </c>
      <c r="B2" s="60"/>
      <c r="C2" s="60"/>
      <c r="D2" s="60"/>
      <c r="E2" s="61"/>
      <c r="F2" s="13">
        <v>2117.0200000000004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C1BC-8CDA-4EAF-85D2-99EA5FF25AA8}">
  <dimension ref="A1:G24"/>
  <sheetViews>
    <sheetView workbookViewId="0">
      <selection activeCell="A16" sqref="A16"/>
    </sheetView>
  </sheetViews>
  <sheetFormatPr defaultRowHeight="14.4" x14ac:dyDescent="0.3"/>
  <cols>
    <col min="1" max="1" width="38" customWidth="1"/>
    <col min="2" max="2" width="16.88671875" bestFit="1" customWidth="1"/>
    <col min="4" max="4" width="45.88671875" customWidth="1"/>
    <col min="5" max="5" width="15.5546875" bestFit="1" customWidth="1"/>
  </cols>
  <sheetData>
    <row r="1" spans="1:7" ht="15.6" x14ac:dyDescent="0.3">
      <c r="A1" s="62" t="s">
        <v>99</v>
      </c>
      <c r="B1" s="62"/>
      <c r="C1" s="62"/>
      <c r="D1" s="62"/>
      <c r="E1" s="62"/>
    </row>
    <row r="2" spans="1:7" ht="15.6" x14ac:dyDescent="0.3">
      <c r="A2" s="14"/>
      <c r="B2" s="14"/>
      <c r="C2" s="14"/>
      <c r="D2" s="14"/>
      <c r="E2" s="14"/>
    </row>
    <row r="3" spans="1:7" ht="15.6" x14ac:dyDescent="0.3">
      <c r="A3" s="63" t="s">
        <v>100</v>
      </c>
      <c r="B3" s="62"/>
      <c r="C3" s="62"/>
      <c r="D3" s="62"/>
      <c r="E3" s="62"/>
    </row>
    <row r="4" spans="1:7" ht="15.6" x14ac:dyDescent="0.3">
      <c r="A4" s="15"/>
      <c r="B4" s="16" t="s">
        <v>101</v>
      </c>
      <c r="C4" s="15"/>
      <c r="D4" s="15"/>
      <c r="E4" s="16" t="s">
        <v>101</v>
      </c>
    </row>
    <row r="5" spans="1:7" ht="15.6" x14ac:dyDescent="0.3">
      <c r="A5" s="17" t="s">
        <v>102</v>
      </c>
      <c r="B5" s="18">
        <v>126351.27</v>
      </c>
      <c r="C5" s="17"/>
      <c r="D5" s="17" t="s">
        <v>103</v>
      </c>
      <c r="E5" s="18">
        <v>6560.2099999999991</v>
      </c>
    </row>
    <row r="6" spans="1:7" ht="15.6" x14ac:dyDescent="0.3">
      <c r="A6" s="17" t="s">
        <v>104</v>
      </c>
      <c r="B6" s="18">
        <v>963.58</v>
      </c>
      <c r="C6" s="17"/>
      <c r="D6" s="17" t="s">
        <v>105</v>
      </c>
      <c r="E6" s="19">
        <f>B16</f>
        <v>120754.64</v>
      </c>
    </row>
    <row r="7" spans="1:7" ht="15.6" x14ac:dyDescent="0.3">
      <c r="A7" s="15"/>
      <c r="B7" s="20"/>
      <c r="C7" s="15"/>
      <c r="D7" s="15"/>
      <c r="E7" s="20"/>
    </row>
    <row r="8" spans="1:7" ht="15.6" x14ac:dyDescent="0.3">
      <c r="A8" s="15"/>
      <c r="B8" s="20"/>
      <c r="C8" s="15"/>
      <c r="D8" s="15"/>
      <c r="E8" s="20"/>
    </row>
    <row r="9" spans="1:7" ht="16.2" thickBot="1" x14ac:dyDescent="0.35">
      <c r="A9" s="15" t="s">
        <v>17</v>
      </c>
      <c r="B9" s="21">
        <f>SUM(B5:B8)</f>
        <v>127314.85</v>
      </c>
      <c r="C9" s="15"/>
      <c r="D9" s="15" t="s">
        <v>17</v>
      </c>
      <c r="E9" s="21">
        <f>SUM(E5:E8)</f>
        <v>127314.85</v>
      </c>
      <c r="G9" s="22"/>
    </row>
    <row r="10" spans="1:7" ht="16.2" thickTop="1" x14ac:dyDescent="0.3">
      <c r="A10" s="15"/>
      <c r="B10" s="20"/>
      <c r="C10" s="15"/>
      <c r="D10" s="15"/>
      <c r="E10" s="20"/>
    </row>
    <row r="11" spans="1:7" ht="15.6" x14ac:dyDescent="0.3">
      <c r="A11" s="15"/>
      <c r="B11" s="20"/>
      <c r="C11" s="15"/>
      <c r="D11" s="15" t="s">
        <v>106</v>
      </c>
      <c r="E11" s="23">
        <f>SUM(B16)</f>
        <v>120754.64</v>
      </c>
    </row>
    <row r="12" spans="1:7" ht="15.6" x14ac:dyDescent="0.3">
      <c r="A12" s="17" t="s">
        <v>216</v>
      </c>
      <c r="B12" s="24">
        <v>9046.57</v>
      </c>
      <c r="C12" s="15"/>
      <c r="D12" s="15"/>
      <c r="E12" s="20"/>
    </row>
    <row r="13" spans="1:7" ht="15.6" x14ac:dyDescent="0.3">
      <c r="A13" s="17" t="s">
        <v>217</v>
      </c>
      <c r="B13" s="24">
        <v>52738.42</v>
      </c>
      <c r="C13" s="15"/>
      <c r="D13" s="15" t="s">
        <v>107</v>
      </c>
      <c r="E13" s="23">
        <f>E9-B9</f>
        <v>0</v>
      </c>
    </row>
    <row r="14" spans="1:7" ht="15.6" x14ac:dyDescent="0.3">
      <c r="A14" s="17" t="s">
        <v>218</v>
      </c>
      <c r="B14" s="24">
        <v>58969.65</v>
      </c>
      <c r="C14" s="15"/>
      <c r="D14" s="17"/>
      <c r="E14" s="25"/>
    </row>
    <row r="15" spans="1:7" ht="15.6" x14ac:dyDescent="0.3">
      <c r="A15" s="17"/>
      <c r="B15" s="26"/>
      <c r="C15" s="15"/>
      <c r="D15" s="27"/>
      <c r="E15" s="26"/>
    </row>
    <row r="16" spans="1:7" ht="15.6" x14ac:dyDescent="0.3">
      <c r="A16" s="17"/>
      <c r="B16" s="28">
        <f>SUM(B12:B15)</f>
        <v>120754.64</v>
      </c>
      <c r="C16" s="15"/>
      <c r="D16" s="27"/>
      <c r="E16" s="29"/>
    </row>
    <row r="17" spans="1:5" ht="15.6" x14ac:dyDescent="0.3">
      <c r="A17" s="15"/>
      <c r="B17" s="20"/>
      <c r="C17" s="15"/>
    </row>
    <row r="18" spans="1:5" ht="15.6" x14ac:dyDescent="0.3">
      <c r="A18" s="30"/>
      <c r="B18" s="31"/>
      <c r="C18" s="15"/>
      <c r="D18" s="15"/>
      <c r="E18" s="20"/>
    </row>
    <row r="19" spans="1:5" ht="15.6" x14ac:dyDescent="0.3">
      <c r="A19" s="15"/>
      <c r="B19" s="20"/>
      <c r="C19" s="15"/>
      <c r="D19" s="15"/>
      <c r="E19" s="20"/>
    </row>
    <row r="20" spans="1:5" ht="15.6" x14ac:dyDescent="0.3">
      <c r="A20" s="15"/>
      <c r="B20" s="20"/>
      <c r="C20" s="15"/>
      <c r="D20" s="15"/>
      <c r="E20" s="32"/>
    </row>
    <row r="21" spans="1:5" ht="15.6" x14ac:dyDescent="0.3">
      <c r="A21" s="15"/>
      <c r="B21" s="20"/>
      <c r="C21" s="15"/>
      <c r="D21" s="15" t="s">
        <v>108</v>
      </c>
      <c r="E21" s="23">
        <f>SUM(E12:E20)</f>
        <v>0</v>
      </c>
    </row>
    <row r="22" spans="1:5" ht="15.6" x14ac:dyDescent="0.3">
      <c r="A22" s="15"/>
      <c r="B22" s="20"/>
      <c r="C22" s="15"/>
      <c r="D22" s="15" t="s">
        <v>109</v>
      </c>
      <c r="E22" s="23">
        <f>E11-E21</f>
        <v>120754.64</v>
      </c>
    </row>
    <row r="23" spans="1:5" ht="16.2" thickBot="1" x14ac:dyDescent="0.35">
      <c r="A23" s="15"/>
      <c r="B23" s="20"/>
      <c r="C23" s="15"/>
      <c r="D23" s="15" t="s">
        <v>110</v>
      </c>
      <c r="E23" s="21">
        <f>SUM(E22:E22)</f>
        <v>120754.64</v>
      </c>
    </row>
    <row r="24" spans="1:5" ht="15" thickTop="1" x14ac:dyDescent="0.3"/>
  </sheetData>
  <mergeCells count="2">
    <mergeCell ref="A1:E1"/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E058D-82A7-4404-B57F-A438880688FC}">
  <dimension ref="B2:G45"/>
  <sheetViews>
    <sheetView workbookViewId="0">
      <selection activeCell="B7" sqref="B7"/>
    </sheetView>
  </sheetViews>
  <sheetFormatPr defaultRowHeight="14.4" x14ac:dyDescent="0.3"/>
  <cols>
    <col min="2" max="2" width="36.88671875" customWidth="1"/>
    <col min="3" max="3" width="12.77734375" customWidth="1"/>
    <col min="4" max="4" width="12.44140625" bestFit="1" customWidth="1"/>
    <col min="5" max="5" width="11.44140625" bestFit="1" customWidth="1"/>
    <col min="6" max="6" width="57.5546875" customWidth="1"/>
    <col min="7" max="7" width="12" customWidth="1"/>
  </cols>
  <sheetData>
    <row r="2" spans="2:7" ht="15.6" x14ac:dyDescent="0.3">
      <c r="B2" s="44" t="s">
        <v>211</v>
      </c>
      <c r="F2" s="44" t="s">
        <v>213</v>
      </c>
    </row>
    <row r="3" spans="2:7" ht="27.6" x14ac:dyDescent="0.3">
      <c r="B3" s="45" t="s">
        <v>219</v>
      </c>
      <c r="C3" s="46">
        <f>'Monthly Reconcilitation'!B16</f>
        <v>120754.64</v>
      </c>
      <c r="F3" s="48" t="s">
        <v>193</v>
      </c>
      <c r="G3" s="48" t="s">
        <v>194</v>
      </c>
    </row>
    <row r="4" spans="2:7" x14ac:dyDescent="0.3">
      <c r="B4" s="45" t="s">
        <v>210</v>
      </c>
      <c r="C4" s="47">
        <f>'I &amp; E 26 to 27'!C9+'I &amp; E 26 to 27'!C8+'I &amp; E 26 to 27'!C7+'I &amp; E 26 to 27'!C6</f>
        <v>54000</v>
      </c>
      <c r="F4" s="49" t="s">
        <v>195</v>
      </c>
      <c r="G4" s="50">
        <v>4000</v>
      </c>
    </row>
    <row r="5" spans="2:7" x14ac:dyDescent="0.3">
      <c r="B5" s="45" t="s">
        <v>220</v>
      </c>
      <c r="C5" s="46">
        <f>'CIL Report'!I8</f>
        <v>47767.55</v>
      </c>
      <c r="F5" s="49" t="s">
        <v>196</v>
      </c>
      <c r="G5" s="50">
        <v>25000</v>
      </c>
    </row>
    <row r="6" spans="2:7" x14ac:dyDescent="0.3">
      <c r="B6" s="45" t="s">
        <v>221</v>
      </c>
      <c r="C6" s="47">
        <f>C3-C4-C5</f>
        <v>18987.089999999997</v>
      </c>
      <c r="F6" s="49" t="s">
        <v>197</v>
      </c>
      <c r="G6" s="49" t="s">
        <v>198</v>
      </c>
    </row>
    <row r="7" spans="2:7" ht="15.6" x14ac:dyDescent="0.3">
      <c r="B7" s="42"/>
      <c r="F7" s="49" t="s">
        <v>199</v>
      </c>
      <c r="G7" s="50">
        <v>6000</v>
      </c>
    </row>
    <row r="8" spans="2:7" ht="15" x14ac:dyDescent="0.3">
      <c r="B8" s="41"/>
      <c r="F8" s="49" t="s">
        <v>200</v>
      </c>
      <c r="G8" s="50">
        <v>8000</v>
      </c>
    </row>
    <row r="9" spans="2:7" x14ac:dyDescent="0.3">
      <c r="B9" s="1" t="s">
        <v>212</v>
      </c>
      <c r="F9" s="49" t="s">
        <v>201</v>
      </c>
      <c r="G9" s="50">
        <v>2000</v>
      </c>
    </row>
    <row r="10" spans="2:7" x14ac:dyDescent="0.3">
      <c r="B10" s="43"/>
      <c r="F10" s="49" t="s">
        <v>202</v>
      </c>
      <c r="G10" s="50">
        <v>3000</v>
      </c>
    </row>
    <row r="11" spans="2:7" ht="27.6" x14ac:dyDescent="0.3">
      <c r="B11" s="51" t="s">
        <v>182</v>
      </c>
      <c r="C11" s="51" t="s">
        <v>183</v>
      </c>
      <c r="F11" s="49" t="s">
        <v>203</v>
      </c>
      <c r="G11" s="50">
        <v>2000</v>
      </c>
    </row>
    <row r="12" spans="2:7" x14ac:dyDescent="0.3">
      <c r="B12" s="52" t="s">
        <v>184</v>
      </c>
      <c r="C12" s="53">
        <v>10426</v>
      </c>
      <c r="F12" s="49" t="s">
        <v>204</v>
      </c>
      <c r="G12" s="50">
        <v>10000</v>
      </c>
    </row>
    <row r="13" spans="2:7" x14ac:dyDescent="0.3">
      <c r="B13" s="52" t="s">
        <v>185</v>
      </c>
      <c r="C13" s="53">
        <v>22005</v>
      </c>
      <c r="F13" s="49" t="s">
        <v>205</v>
      </c>
      <c r="G13" s="50">
        <v>1000</v>
      </c>
    </row>
    <row r="14" spans="2:7" x14ac:dyDescent="0.3">
      <c r="B14" s="54" t="s">
        <v>186</v>
      </c>
      <c r="C14" s="53">
        <v>1545</v>
      </c>
      <c r="F14" s="49" t="s">
        <v>206</v>
      </c>
      <c r="G14" s="49">
        <v>100</v>
      </c>
    </row>
    <row r="15" spans="2:7" x14ac:dyDescent="0.3">
      <c r="B15" s="54" t="s">
        <v>187</v>
      </c>
      <c r="C15" s="53">
        <v>3012</v>
      </c>
      <c r="F15" s="49" t="s">
        <v>207</v>
      </c>
      <c r="G15" s="50">
        <v>2000</v>
      </c>
    </row>
    <row r="16" spans="2:7" x14ac:dyDescent="0.3">
      <c r="B16" s="51" t="s">
        <v>188</v>
      </c>
      <c r="C16" s="53">
        <v>37341</v>
      </c>
      <c r="F16" s="49" t="s">
        <v>208</v>
      </c>
      <c r="G16" s="49">
        <v>240</v>
      </c>
    </row>
    <row r="17" spans="2:7" x14ac:dyDescent="0.3">
      <c r="B17" s="51" t="s">
        <v>189</v>
      </c>
      <c r="C17" s="53">
        <v>9233</v>
      </c>
      <c r="F17" s="48" t="s">
        <v>209</v>
      </c>
      <c r="G17" s="50">
        <v>34340</v>
      </c>
    </row>
    <row r="18" spans="2:7" x14ac:dyDescent="0.3">
      <c r="B18" s="54"/>
      <c r="C18" s="55"/>
      <c r="F18" s="48" t="s">
        <v>214</v>
      </c>
      <c r="G18" s="50">
        <v>29000</v>
      </c>
    </row>
    <row r="19" spans="2:7" ht="27.6" x14ac:dyDescent="0.3">
      <c r="B19" s="54" t="s">
        <v>190</v>
      </c>
      <c r="C19" s="53">
        <v>38800</v>
      </c>
    </row>
    <row r="20" spans="2:7" ht="27.6" x14ac:dyDescent="0.3">
      <c r="B20" s="51" t="s">
        <v>188</v>
      </c>
      <c r="C20" s="55" t="s">
        <v>191</v>
      </c>
    </row>
    <row r="21" spans="2:7" x14ac:dyDescent="0.3">
      <c r="B21" s="51" t="s">
        <v>189</v>
      </c>
      <c r="C21" s="53">
        <v>7775</v>
      </c>
    </row>
    <row r="22" spans="2:7" x14ac:dyDescent="0.3">
      <c r="B22" s="51"/>
      <c r="C22" s="54"/>
    </row>
    <row r="23" spans="2:7" ht="27.6" x14ac:dyDescent="0.3">
      <c r="B23" s="54" t="s">
        <v>192</v>
      </c>
      <c r="C23" s="56">
        <v>1455</v>
      </c>
    </row>
    <row r="24" spans="2:7" x14ac:dyDescent="0.3">
      <c r="B24" s="51" t="s">
        <v>188</v>
      </c>
      <c r="C24" s="56">
        <v>37341</v>
      </c>
    </row>
    <row r="25" spans="2:7" x14ac:dyDescent="0.3">
      <c r="B25" s="51" t="s">
        <v>189</v>
      </c>
      <c r="C25" s="56">
        <v>7778</v>
      </c>
    </row>
    <row r="26" spans="2:7" ht="15" x14ac:dyDescent="0.3">
      <c r="B26" s="41"/>
    </row>
    <row r="27" spans="2:7" ht="15" x14ac:dyDescent="0.3">
      <c r="B27" s="41"/>
    </row>
    <row r="45" spans="2:2" ht="15" x14ac:dyDescent="0.3">
      <c r="B45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I &amp; E 26 to 27</vt:lpstr>
      <vt:lpstr>CIL Report</vt:lpstr>
      <vt:lpstr>VAT Claim</vt:lpstr>
      <vt:lpstr>Monthly Reconcilitation</vt:lpstr>
      <vt:lpstr>Forecast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Barnett</dc:creator>
  <cp:lastModifiedBy>Parish Clerk</cp:lastModifiedBy>
  <dcterms:created xsi:type="dcterms:W3CDTF">2026-09-12T12:43:31Z</dcterms:created>
  <dcterms:modified xsi:type="dcterms:W3CDTF">2026-09-16T12:54:22Z</dcterms:modified>
</cp:coreProperties>
</file>